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130"/>
  <workbookPr defaultThemeVersion="166925"/>
  <bookViews>
    <workbookView xWindow="65416" yWindow="65416" windowWidth="29040" windowHeight="15840" activeTab="0"/>
  </bookViews>
  <sheets>
    <sheet name="Inputs" sheetId="1" r:id="rId1"/>
    <sheet name="Calcs" sheetId="4" r:id="rId2"/>
    <sheet name="Lists" sheetId="2" state="hidden" r:id="rId3"/>
  </sheets>
  <definedNames>
    <definedName name="a">'Inputs'!$B$16:$F$16</definedName>
    <definedName name="a_1">'Inputs'!$B$16</definedName>
    <definedName name="a_2">'Inputs'!$C$16</definedName>
    <definedName name="a_3">'Inputs'!$D$16</definedName>
    <definedName name="a_4">'Inputs'!$E$16</definedName>
    <definedName name="a_5">'Inputs'!$F$16</definedName>
    <definedName name="Benchmark">'Inputs'!$B$9:$D$9</definedName>
    <definedName name="Bi">'Inputs'!$B$9</definedName>
    <definedName name="Bio">'Inputs'!$B$7</definedName>
    <definedName name="C_a">'Inputs'!$B$23:$F$23</definedName>
    <definedName name="C_a1">'Inputs'!$B$23</definedName>
    <definedName name="C_a2">'Inputs'!$C$23</definedName>
    <definedName name="C_a3">'Inputs'!$D$23</definedName>
    <definedName name="C_a4">'Inputs'!$E$23</definedName>
    <definedName name="C_a5">'Inputs'!$F$23</definedName>
    <definedName name="C_Ci">'Inputs'!$B$22:$F$22</definedName>
    <definedName name="C_Ci1">'Inputs'!$B$22</definedName>
    <definedName name="C_Ci2">'Inputs'!$C$22</definedName>
    <definedName name="C_Ci3">'Inputs'!$D$22</definedName>
    <definedName name="C_Ci4">'Inputs'!$E$22</definedName>
    <definedName name="C_Ci5">'Inputs'!$F$22</definedName>
    <definedName name="C_MafterAi">'Inputs'!$B$25:$F$25</definedName>
    <definedName name="C_MafterAi1">'Inputs'!$B$25</definedName>
    <definedName name="C_MafterAi2">'Inputs'!$C$25</definedName>
    <definedName name="C_MafterAi3">'Inputs'!$D$25</definedName>
    <definedName name="C_MafterAi4">'Inputs'!$E$25</definedName>
    <definedName name="C_MafterAi5">'Inputs'!$F$25</definedName>
    <definedName name="C_MbeforeAi">'Inputs'!$B$24:$F$24</definedName>
    <definedName name="C_MbeforeAi1">'Inputs'!$B$24</definedName>
    <definedName name="C_MbeforeAi2">'Inputs'!$C$24</definedName>
    <definedName name="C_MbeforeAi3">'Inputs'!$D$24</definedName>
    <definedName name="C_MbeforeAi4">'Inputs'!$E$24</definedName>
    <definedName name="C_MbeforeAi5">'Inputs'!$F$24</definedName>
    <definedName name="Ci">'Inputs'!$B$14:$F$14</definedName>
    <definedName name="Ci_1">'Inputs'!$B$14</definedName>
    <definedName name="Ci_2">'Inputs'!$C$14</definedName>
    <definedName name="Ci_3">'Inputs'!$D$14</definedName>
    <definedName name="Ci_4">'Inputs'!$E$14</definedName>
    <definedName name="Ci_5">'Inputs'!$F$14</definedName>
    <definedName name="Cii">'Inputs'!$B$15:$F$15</definedName>
    <definedName name="Cii_1">'Inputs'!$B$15</definedName>
    <definedName name="Cii_2">'Inputs'!$C$15</definedName>
    <definedName name="Cii_3">'Inputs'!$D$15</definedName>
    <definedName name="Cii_4">'Inputs'!$E$15</definedName>
    <definedName name="Cii_5">'Inputs'!$F$15</definedName>
    <definedName name="Comp1">'Inputs'!$B$19</definedName>
    <definedName name="Comp2">'Inputs'!$C$19</definedName>
    <definedName name="Comp3">'Inputs'!$D$19</definedName>
    <definedName name="Comp4">'Inputs'!$E$19</definedName>
    <definedName name="Comp5">'Inputs'!$F$19</definedName>
    <definedName name="CompAiAdjustedChange">'Calcs'!$B$22</definedName>
    <definedName name="CompAiAdjustedChange1">'Calcs'!$C$22</definedName>
    <definedName name="CompAiAdjustedChange2">'Calcs'!$D$22</definedName>
    <definedName name="CompAiAdjustedChange3">'Calcs'!$E$22</definedName>
    <definedName name="CompAiAdjustedChange4">'Calcs'!$F$22</definedName>
    <definedName name="CompAiAdjustedChange5">'Calcs'!$G$22</definedName>
    <definedName name="CompBV_Ai">'Calcs'!$B$25</definedName>
    <definedName name="CompBV_Ai1">'Calcs'!$C$25</definedName>
    <definedName name="CompBV_Ai2">'Calcs'!$D$25</definedName>
    <definedName name="CompBV_Ai3">'Calcs'!$E$25</definedName>
    <definedName name="CompBV_Ai4">'Calcs'!$F$25</definedName>
    <definedName name="CompBV_Ai5">'Calcs'!$G$25</definedName>
    <definedName name="CompChangeAi">'Calcs'!$B$21</definedName>
    <definedName name="CompNo">'Inputs'!$B$11</definedName>
    <definedName name="d">'Inputs'!$B$20:$F$20</definedName>
    <definedName name="d_1">'Inputs'!$B$20</definedName>
    <definedName name="d_2">'Inputs'!$C$20</definedName>
    <definedName name="d_3">'Inputs'!$D$20</definedName>
    <definedName name="d_4">'Inputs'!$E$20</definedName>
    <definedName name="d_5">'Inputs'!$F$20</definedName>
    <definedName name="Hab">'Inputs'!$B$6</definedName>
    <definedName name="HabNo">'Inputs'!$B$10</definedName>
    <definedName name="ImpactAiAdjustedChange">'Calcs'!$B$12</definedName>
    <definedName name="ImpactAiAdjustedChange1">'Calcs'!$C$12</definedName>
    <definedName name="ImpactAiAdjustedChange2">'Calcs'!$D$12</definedName>
    <definedName name="ImpactAiAdjustedChange3">'Calcs'!$E$12</definedName>
    <definedName name="ImpactAiAdjustedChange4">'Calcs'!$F$12</definedName>
    <definedName name="ImpactAiAdjustedChange5">'Calcs'!$G$12</definedName>
    <definedName name="ImpactBV_Ai">'Calcs'!$B$13</definedName>
    <definedName name="INPUTS_ALL">'Inputs'!$B$10:$B$10,'Inputs'!$B$11:$B$12,'Inputs'!$B$14:$B$15,'Inputs'!$B$16:$F$18,'Inputs'!$B$20:$F$25</definedName>
    <definedName name="List_Ecological">'Lists'!$B$2:$B$5</definedName>
    <definedName name="List_Habitat">'Lists'!$A$2:$A$6</definedName>
    <definedName name="List_Uncertainty">'Lists'!$C$2:$C$5</definedName>
    <definedName name="MafterAi">'Inputs'!$B$18:$F$18</definedName>
    <definedName name="MafterAi1">'Inputs'!$B$18</definedName>
    <definedName name="MafterAi2">'Inputs'!$C$18</definedName>
    <definedName name="MafterAi3">'Inputs'!$D$18</definedName>
    <definedName name="MafterAi4">'Inputs'!$E$18</definedName>
    <definedName name="MafterAi5">'Inputs'!$F$18</definedName>
    <definedName name="MbeforeAi">'Inputs'!$B$17:$F$17</definedName>
    <definedName name="MbeforeAi1">'Inputs'!$B$17</definedName>
    <definedName name="MbeforeAi2">'Inputs'!$C$17</definedName>
    <definedName name="MbeforeAi3">'Inputs'!$D$17</definedName>
    <definedName name="MbeforeAi4">'Inputs'!$E$17</definedName>
    <definedName name="MbeforeAi5">'Inputs'!$F$17</definedName>
    <definedName name="NetGainTarget">'Inputs'!$B$12</definedName>
    <definedName name="NPBV_Ai">'Calcs'!$B$26</definedName>
    <definedName name="_xlnm.Print_Area" localSheetId="1">'Calcs'!$A$2:$G$26</definedName>
    <definedName name="_xlnm.Print_Area" localSheetId="0">'Inputs'!$A$1:$G$35</definedName>
    <definedName name="t">'Inputs'!$B$21:$F$21</definedName>
    <definedName name="t_1">'Inputs'!$B$21</definedName>
    <definedName name="t_2">'Inputs'!$C$21</definedName>
    <definedName name="t_3">'Inputs'!$D$21</definedName>
    <definedName name="t_4">'Inputs'!$E$21</definedName>
    <definedName name="t_5">'Inputs'!$F$21</definedName>
    <definedName name="Tech">'Inputs'!$B$8</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Guidance</author>
  </authors>
  <commentList>
    <comment ref="A7" authorId="0">
      <text>
        <r>
          <rPr>
            <b/>
            <sz val="9"/>
            <rFont val="Tahoma"/>
            <family val="2"/>
          </rPr>
          <t>Instruction:</t>
        </r>
        <r>
          <rPr>
            <sz val="9"/>
            <rFont val="Tahoma"/>
            <family val="2"/>
          </rPr>
          <t xml:space="preserve">
Manually type in the biodiversity type to which the BCM relates, e.g., terrestrial vegetation, kahikatea swamp forest, raupō wetland, indigenous fauna assemblage, lizard assemblage, kānuka or Australasian bittern.
Further explanation is provided in the BCM User Guide Document Section 3.4.</t>
        </r>
      </text>
    </comment>
    <comment ref="A8" authorId="0">
      <text>
        <r>
          <rPr>
            <b/>
            <sz val="9"/>
            <rFont val="Tahoma"/>
            <family val="2"/>
          </rPr>
          <t>Instruction:</t>
        </r>
        <r>
          <rPr>
            <sz val="9"/>
            <rFont val="Tahoma"/>
            <family val="2"/>
          </rPr>
          <t xml:space="preserve">
Manually type in the names of all technical experts involved in contributing to and agreeing data inputs.
Further explanation is provided in the BCM User Guide Document Section 3.4.</t>
        </r>
      </text>
    </comment>
    <comment ref="A9" authorId="0">
      <text>
        <r>
          <rPr>
            <b/>
            <sz val="9"/>
            <rFont val="Tahoma"/>
            <family val="2"/>
          </rPr>
          <t>Instruction:</t>
        </r>
        <r>
          <rPr>
            <sz val="9"/>
            <rFont val="Tahoma"/>
            <family val="2"/>
          </rPr>
          <t xml:space="preserve">
Manually type in 5 (the benchmark is always 5).
Further explanation is provided in the BCM User Guide Document Section 3.4.</t>
        </r>
      </text>
    </comment>
    <comment ref="A10" authorId="0">
      <text>
        <r>
          <rPr>
            <b/>
            <sz val="9"/>
            <rFont val="Tahoma"/>
            <family val="2"/>
          </rPr>
          <t>Instruction:</t>
        </r>
        <r>
          <rPr>
            <sz val="9"/>
            <rFont val="Tahoma"/>
            <family val="2"/>
          </rPr>
          <t xml:space="preserve">
Select from the drop-down menu the number of different habitat type or sites/locations impacted. Up to 5 different habitat types or sites can be selected.
Further information is provided in the BCM User Guide Document Section 3.4.</t>
        </r>
      </text>
    </comment>
    <comment ref="A11" authorId="0">
      <text>
        <r>
          <rPr>
            <b/>
            <sz val="9"/>
            <rFont val="Tahoma"/>
            <family val="2"/>
          </rPr>
          <t>Instruction:</t>
        </r>
        <r>
          <rPr>
            <sz val="9"/>
            <rFont val="Tahoma"/>
            <family val="2"/>
          </rPr>
          <t xml:space="preserve">
Select from the drop-down menu the number of different compensation actions proposed. Up to 5 different compensation actions can be selected.
Further explanation is provided in the BCM User Guide Document Section 3.4.</t>
        </r>
      </text>
    </comment>
    <comment ref="A12" authorId="0">
      <text>
        <r>
          <rPr>
            <b/>
            <sz val="9"/>
            <rFont val="Tahoma"/>
            <family val="2"/>
          </rPr>
          <t>Instruction:</t>
        </r>
        <r>
          <rPr>
            <sz val="9"/>
            <rFont val="Tahoma"/>
            <family val="2"/>
          </rPr>
          <t xml:space="preserve">
Manually type in the desired Net Gain target as a percentage, e.g., if the number 20 is typed, this will be converted to 20%.
Further explanation is provided in the BCM User Guide Document Section 3.4.</t>
        </r>
      </text>
    </comment>
    <comment ref="A13" authorId="0">
      <text>
        <r>
          <rPr>
            <b/>
            <sz val="9"/>
            <rFont val="Tahoma"/>
            <family val="2"/>
          </rPr>
          <t>Instruction:</t>
        </r>
        <r>
          <rPr>
            <sz val="9"/>
            <rFont val="Tahoma"/>
            <family val="2"/>
          </rPr>
          <t xml:space="preserve">
Manually type the name of the habitat(s) or site(s) impacted in cells </t>
        </r>
        <r>
          <rPr>
            <b/>
            <sz val="9"/>
            <rFont val="Tahoma"/>
            <family val="2"/>
          </rPr>
          <t>B13-F13</t>
        </r>
        <r>
          <rPr>
            <sz val="9"/>
            <rFont val="Tahoma"/>
            <family val="2"/>
          </rPr>
          <t>. The number of named habitat(s) or site(s) will need to match the number of proposed compensation actions specified above.</t>
        </r>
      </text>
    </comment>
    <comment ref="A14" authorId="0">
      <text>
        <r>
          <rPr>
            <b/>
            <sz val="9"/>
            <rFont val="Tahoma"/>
            <family val="2"/>
          </rPr>
          <t>Instruction:</t>
        </r>
        <r>
          <rPr>
            <sz val="9"/>
            <rFont val="Tahoma"/>
            <family val="2"/>
          </rPr>
          <t xml:space="preserve">
Select from the drop-down menu:
1 = Negligible or low risk/ Negligible or low value (calculated impact score is multiplied by 1.0 (+0%))
2 = Moderate risk/Moderate value (calculated impact score is multiplied by 1.05 (+5%))
3 = High risk/High value (calculated impact score is multiplied by 1.1 (+10%))
4 = Very high risk/Very high value (calculated impact score is multiplied by 1.2 (+20%))
Further explanation is provided in the BCM User Guide Document Section 3.4.</t>
        </r>
      </text>
    </comment>
    <comment ref="A15" authorId="0">
      <text>
        <r>
          <rPr>
            <b/>
            <sz val="9"/>
            <rFont val="Tahoma"/>
            <family val="2"/>
          </rPr>
          <t>Instruction:</t>
        </r>
        <r>
          <rPr>
            <sz val="9"/>
            <rFont val="Tahoma"/>
            <family val="2"/>
          </rPr>
          <t xml:space="preserve">
Select from the drop-down menu:
1 = Low uncertainty (calculated impact score is multiplied by 1.05 (+5%))
2 = Moderate uncertainty (calculated impact score is multiplied by 1.1 (+10%))
3 = High uncertainty (calculated impact score is multiplied by 1.2 (+20%))
4 = Very high uncertainty (the model will not work if this option is selected)
Further information is provided in the BCM User Guide Document Section 3.4.</t>
        </r>
      </text>
    </comment>
    <comment ref="A16" authorId="0">
      <text>
        <r>
          <rPr>
            <b/>
            <sz val="9"/>
            <rFont val="Tahoma"/>
            <family val="2"/>
          </rPr>
          <t xml:space="preserve">Instruction:
</t>
        </r>
        <r>
          <rPr>
            <sz val="9"/>
            <rFont val="Tahoma"/>
            <family val="2"/>
          </rPr>
          <t>Manually type in the areal extent of impact in hectares with respect to the value being considered (incorporating both direct and indirect effects).
Further explanation is provided in the BCM User Guide Section 3.4</t>
        </r>
      </text>
    </comment>
    <comment ref="A17" authorId="0">
      <text>
        <r>
          <rPr>
            <b/>
            <sz val="9"/>
            <rFont val="Tahoma"/>
            <family val="2"/>
          </rPr>
          <t xml:space="preserve">Instruction:
</t>
        </r>
        <r>
          <rPr>
            <sz val="9"/>
            <rFont val="Tahoma"/>
            <family val="2"/>
          </rPr>
          <t>Manually type in a numerical score between 0 and 5 that relates to the value score prior to impact relative to the benchmark value score of 5.
Further explanation is provided in the BCM User Guide Document Section 3.4.</t>
        </r>
      </text>
    </comment>
    <comment ref="A18" authorId="0">
      <text>
        <r>
          <rPr>
            <b/>
            <sz val="9"/>
            <rFont val="Tahoma"/>
            <family val="2"/>
          </rPr>
          <t>Instruction:</t>
        </r>
        <r>
          <rPr>
            <sz val="9"/>
            <rFont val="Tahoma"/>
            <family val="2"/>
          </rPr>
          <t xml:space="preserve">
Manually type in a numerical score between 0 and 5 that relates to the value score after the impact relative to the benchmark value score of 5.
Further explanation is provided in the BCM User Guide Document Section 3.4.
</t>
        </r>
      </text>
    </comment>
    <comment ref="A19" authorId="0">
      <text>
        <r>
          <rPr>
            <b/>
            <sz val="9"/>
            <rFont val="Tahoma"/>
            <family val="2"/>
          </rPr>
          <t>Instruction:</t>
        </r>
        <r>
          <rPr>
            <sz val="9"/>
            <rFont val="Tahoma"/>
            <family val="2"/>
          </rPr>
          <t xml:space="preserve">
Manually enter the compensation action proposed. The number of different compensation measures (habitat(s) or site(s)) will need to match the number of proposed compensation actions specified above.
Further explanation is provided in the BCM User Guide Document Section 3.4.</t>
        </r>
      </text>
    </comment>
    <comment ref="A20" authorId="0">
      <text>
        <r>
          <rPr>
            <b/>
            <sz val="9"/>
            <rFont val="Tahoma"/>
            <family val="2"/>
          </rPr>
          <t>Instruction:</t>
        </r>
        <r>
          <rPr>
            <sz val="9"/>
            <rFont val="Tahoma"/>
            <family val="2"/>
          </rPr>
          <t xml:space="preserve">
Manually enter a percentage discount rate.
Further explanation is provided in the BCM User Guide Document Section 3.4.</t>
        </r>
      </text>
    </comment>
    <comment ref="A21" authorId="0">
      <text>
        <r>
          <rPr>
            <b/>
            <sz val="9"/>
            <rFont val="Tahoma"/>
            <family val="2"/>
          </rPr>
          <t>Instruction:</t>
        </r>
        <r>
          <rPr>
            <sz val="9"/>
            <rFont val="Tahoma"/>
            <family val="2"/>
          </rPr>
          <t xml:space="preserve">
Manually enter the number of years between impact and assessment of biodiversity gain at the compensation site(s) resulting from compensation actions.
Further explanation is provided in the BCM User Guide Document Section 3.4.</t>
        </r>
      </text>
    </comment>
    <comment ref="A22" authorId="0">
      <text>
        <r>
          <rPr>
            <b/>
            <sz val="9"/>
            <rFont val="Tahoma"/>
            <family val="2"/>
          </rPr>
          <t>Instruction:</t>
        </r>
        <r>
          <rPr>
            <sz val="9"/>
            <rFont val="Tahoma"/>
            <family val="2"/>
          </rPr>
          <t xml:space="preserve">
Select from the drop-down menu:
1 = Very high confidence (&gt;90%)
2 = High confidence (75%-90%)
3 = Moderate confidence (50-75%)
4 = Low confidence (&lt; 50%) (The model will not work if this option is selected)
Further explanation is provided in the BCM User Guide Document Section 3.4.</t>
        </r>
      </text>
    </comment>
    <comment ref="A23" authorId="0">
      <text>
        <r>
          <rPr>
            <b/>
            <sz val="9"/>
            <rFont val="Tahoma"/>
            <family val="2"/>
          </rPr>
          <t>Instruction:</t>
        </r>
        <r>
          <rPr>
            <sz val="9"/>
            <rFont val="Tahoma"/>
            <family val="2"/>
          </rPr>
          <t xml:space="preserve">
Manually enter the areal extent (ha) of the proposed compensation action.</t>
        </r>
      </text>
    </comment>
    <comment ref="A24" authorId="0">
      <text>
        <r>
          <rPr>
            <b/>
            <sz val="9"/>
            <rFont val="Tahoma"/>
            <family val="2"/>
          </rPr>
          <t>Instruction:</t>
        </r>
        <r>
          <rPr>
            <sz val="9"/>
            <rFont val="Tahoma"/>
            <family val="2"/>
          </rPr>
          <t xml:space="preserve">
Manually type in a numerical value score between 0 and 5 that relates to the value score at the compensation site(s) prior to implementation of compensation action(s).
Further explanation is provided in the BCM User Guide Document Section 3.4.</t>
        </r>
      </text>
    </comment>
    <comment ref="A25" authorId="0">
      <text>
        <r>
          <rPr>
            <b/>
            <sz val="9"/>
            <rFont val="Tahoma"/>
            <family val="2"/>
          </rPr>
          <t>Instruction:</t>
        </r>
        <r>
          <rPr>
            <sz val="9"/>
            <rFont val="Tahoma"/>
            <family val="2"/>
          </rPr>
          <t xml:space="preserve">
Manually type in a numerical value score between 0 and 5 that relates to the value score at the compensation site(s) after implementation of compensation action(s) as assessed at the finite end point (years).
Further explanation is provided in the BCM User Guide Document Section 3.4.</t>
        </r>
      </text>
    </comment>
  </commentList>
</comments>
</file>

<file path=xl/sharedStrings.xml><?xml version="1.0" encoding="utf-8"?>
<sst xmlns="http://schemas.openxmlformats.org/spreadsheetml/2006/main" count="92" uniqueCount="87">
  <si>
    <t>Benchmark</t>
  </si>
  <si>
    <t>Areal extent of impact (ha):</t>
  </si>
  <si>
    <t>Value score prior to impact:</t>
  </si>
  <si>
    <t>Value score after impact:</t>
  </si>
  <si>
    <t>Habitats</t>
  </si>
  <si>
    <t>Ecological Value</t>
  </si>
  <si>
    <t>Uncertainty</t>
  </si>
  <si>
    <t>Finite end point (years):</t>
  </si>
  <si>
    <t>Areal extent (ha) of compensation type:</t>
  </si>
  <si>
    <t>Value score prior to compensation:</t>
  </si>
  <si>
    <t>Value score after compensation:</t>
  </si>
  <si>
    <t>Impacts</t>
  </si>
  <si>
    <t>Compensations</t>
  </si>
  <si>
    <t>Impact Contingency Value</t>
  </si>
  <si>
    <t>Negligible/Low value (Calculated impact score is multiplied by 1 (+0%)</t>
  </si>
  <si>
    <t>Impact Contingency Uncertainty</t>
  </si>
  <si>
    <t>Compensation Contingency Confidence</t>
  </si>
  <si>
    <t>High Confidence (&gt;90%)</t>
  </si>
  <si>
    <t>Moderate Confidence (75%-90%)</t>
  </si>
  <si>
    <t>Low confidence (50-75%)</t>
  </si>
  <si>
    <t>Loss (ha)</t>
  </si>
  <si>
    <t>Pre- Impact Score</t>
  </si>
  <si>
    <t>Compensation area (ha)</t>
  </si>
  <si>
    <t>Pre- Compensation Score</t>
  </si>
  <si>
    <t>Post Compensation score</t>
  </si>
  <si>
    <t>Proportional  Impact</t>
  </si>
  <si>
    <t>Post Impact score</t>
  </si>
  <si>
    <t>Ci</t>
  </si>
  <si>
    <t>Cii</t>
  </si>
  <si>
    <t>Total</t>
  </si>
  <si>
    <t>Calculations</t>
  </si>
  <si>
    <t>Change in Ai adjusted (▲Ai adjusted)</t>
  </si>
  <si>
    <t>Total impact score (Impact BVAi)</t>
  </si>
  <si>
    <t>Total compensation gain score (Compensation BVAi)</t>
  </si>
  <si>
    <t>Time (in years, t)</t>
  </si>
  <si>
    <t>Impact contingency (Uncertainty/Cii) value</t>
  </si>
  <si>
    <t>Impact contingency (Ecological/Ci) value</t>
  </si>
  <si>
    <t>Compensation contingency (Confidence/Ci) value</t>
  </si>
  <si>
    <t>Compensation score per unit area (▲Ai)</t>
  </si>
  <si>
    <t>Version x, updated dd/mm/yyyy</t>
  </si>
  <si>
    <t xml:space="preserve">Tonkin + Taylor QBM tool    </t>
  </si>
  <si>
    <t>Multiplier</t>
  </si>
  <si>
    <t>Technical expert(s) input</t>
  </si>
  <si>
    <t>Biodiversity type</t>
  </si>
  <si>
    <t>Project/reference name</t>
  </si>
  <si>
    <t>Net gain target</t>
  </si>
  <si>
    <t>Input descriptors</t>
  </si>
  <si>
    <t>Input data</t>
  </si>
  <si>
    <t>N/A</t>
  </si>
  <si>
    <t>How many habitat types OR sites are impacted</t>
  </si>
  <si>
    <t>Habitat/Site 4</t>
  </si>
  <si>
    <t>Habitat/Site 5</t>
  </si>
  <si>
    <t>Discount rate:</t>
  </si>
  <si>
    <t>Discount (d)</t>
  </si>
  <si>
    <t>Habitat/Site Impact(s)</t>
  </si>
  <si>
    <t>Net gain outcome</t>
  </si>
  <si>
    <t>Number of proposed compensation actions</t>
  </si>
  <si>
    <t>Compensation Action(s)</t>
  </si>
  <si>
    <t>Action 1</t>
  </si>
  <si>
    <t>Action 2</t>
  </si>
  <si>
    <t>Action 3</t>
  </si>
  <si>
    <t>Action 4</t>
  </si>
  <si>
    <t>Action 5</t>
  </si>
  <si>
    <t>Model Inputs</t>
  </si>
  <si>
    <t>Model outputs</t>
  </si>
  <si>
    <t>Impact score</t>
  </si>
  <si>
    <t>Compensation score</t>
  </si>
  <si>
    <t>Total impact score</t>
  </si>
  <si>
    <t>Total compensation score</t>
  </si>
  <si>
    <t>High value (Calculated impact score is multiplied by 1.1 (+10%))</t>
  </si>
  <si>
    <t>Moderate value (Calculated impact score is multiplied by 1.05 (+5%))</t>
  </si>
  <si>
    <t>Very High value (Calculated impact score is multiplied by 1.2 (+20%))</t>
  </si>
  <si>
    <t>Very high uncertainty (the model will not work for calculating this)</t>
  </si>
  <si>
    <t>Low uncertainty (calculated impact score is multiplied by 1.05 (+5%))</t>
  </si>
  <si>
    <t>Moderate uncertainty (calculated impact score is multiplied by 1.1 (+10%))</t>
  </si>
  <si>
    <t>High uncertainty (calculated impact score is multiplied by 1.2 (+20%))</t>
  </si>
  <si>
    <t>VHU</t>
  </si>
  <si>
    <t>NPBV across impact and compensation site(s) (NPBV Ai)</t>
  </si>
  <si>
    <t>Copyright © Tonkin &amp; Taylor Ltd. All rights reserved.</t>
  </si>
  <si>
    <t xml:space="preserve">M. Baber, J. Dickson, J. Quinn, J. Markham, G. Ussher, S. Jackson and S. Heggie-Gracie </t>
  </si>
  <si>
    <t xml:space="preserve">This Biodiversity Compensation Model (BCM) and the accompanying User Guide has been developed by: </t>
  </si>
  <si>
    <t>Impact risk contingency:</t>
  </si>
  <si>
    <t>Impact uncertainty contingency:</t>
  </si>
  <si>
    <t>Compensation confidence contingency:</t>
  </si>
  <si>
    <t>Totara Tree</t>
  </si>
  <si>
    <t>Berm reveg</t>
  </si>
  <si>
    <t>Pine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</si>
</sst>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0.0"/>
    <numFmt numFmtId="167" formatCode="0.0000"/>
    <numFmt numFmtId="168" formatCode="0.00000"/>
  </numFmts>
  <fonts count="34">
    <font>
      <sz val="11"/>
      <color theme="1"/>
      <name val="Calibri"/>
      <family val="2"/>
      <scheme val="minor"/>
    </font>
    <font>
      <sz val="10"/>
      <name val="Arial"/>
      <family val="2"/>
    </font>
    <font>
      <b/>
      <sz val="11"/>
      <color theme="1"/>
      <name val="Calibri"/>
      <family val="2"/>
      <scheme val="minor"/>
    </font>
    <font>
      <sz val="9"/>
      <name val="Tahoma"/>
      <family val="2"/>
    </font>
    <font>
      <b/>
      <sz val="9"/>
      <name val="Tahoma"/>
      <family val="2"/>
    </font>
    <font>
      <sz val="10"/>
      <color theme="1"/>
      <name val="Calibri"/>
      <family val="2"/>
      <scheme val="minor"/>
    </font>
    <font>
      <sz val="9"/>
      <color theme="1"/>
      <name val="Calibri"/>
      <family val="2"/>
      <scheme val="minor"/>
    </font>
    <font>
      <sz val="16"/>
      <color theme="1"/>
      <name val="Calibri"/>
      <family val="2"/>
      <scheme val="minor"/>
    </font>
    <font>
      <b/>
      <sz val="10"/>
      <color theme="1"/>
      <name val="Calibri"/>
      <family val="2"/>
      <scheme val="minor"/>
    </font>
    <font>
      <sz val="10"/>
      <name val="Calibri"/>
      <family val="2"/>
      <scheme val="minor"/>
    </font>
    <font>
      <b/>
      <sz val="10"/>
      <name val="Calibri"/>
      <family val="2"/>
      <scheme val="minor"/>
    </font>
    <font>
      <sz val="8"/>
      <color theme="1"/>
      <name val="Calibri"/>
      <family val="2"/>
      <scheme val="minor"/>
    </font>
    <font>
      <sz val="11"/>
      <color rgb="FF4FA7BE"/>
      <name val="Calibri"/>
      <family val="2"/>
      <scheme val="minor"/>
    </font>
    <font>
      <sz val="10"/>
      <color rgb="FF4FA7BE"/>
      <name val="Calibri"/>
      <family val="2"/>
      <scheme val="minor"/>
    </font>
    <font>
      <sz val="10"/>
      <color rgb="FFFF0000"/>
      <name val="Calibri"/>
      <family val="2"/>
      <scheme val="minor"/>
    </font>
    <font>
      <b/>
      <sz val="10"/>
      <color rgb="FFB2D1E1"/>
      <name val="Calibri"/>
      <family val="2"/>
      <scheme val="minor"/>
    </font>
    <font>
      <sz val="10"/>
      <color rgb="FF00B050"/>
      <name val="Calibri"/>
      <family val="2"/>
      <scheme val="minor"/>
    </font>
    <font>
      <b/>
      <sz val="11"/>
      <color theme="0"/>
      <name val="Calibri"/>
      <family val="2"/>
      <scheme val="minor"/>
    </font>
    <font>
      <b/>
      <sz val="10"/>
      <color theme="0"/>
      <name val="Calibri"/>
      <family val="2"/>
      <scheme val="minor"/>
    </font>
    <font>
      <b/>
      <i/>
      <sz val="10"/>
      <color theme="4" tint="-0.24997000396251678"/>
      <name val="Calibri"/>
      <family val="2"/>
      <scheme val="minor"/>
    </font>
    <font>
      <b/>
      <sz val="14"/>
      <color rgb="FFFF0000"/>
      <name val="Calibri"/>
      <family val="2"/>
      <scheme val="minor"/>
    </font>
    <font>
      <b/>
      <sz val="14"/>
      <color theme="0"/>
      <name val="Calibri"/>
      <family val="2"/>
      <scheme val="minor"/>
    </font>
    <font>
      <b/>
      <i/>
      <sz val="10"/>
      <color rgb="FF0070C0"/>
      <name val="Calibri"/>
      <family val="2"/>
      <scheme val="minor"/>
    </font>
    <font>
      <b/>
      <sz val="8"/>
      <color theme="0"/>
      <name val="Calibri"/>
      <family val="2"/>
      <scheme val="minor"/>
    </font>
    <font>
      <b/>
      <sz val="12"/>
      <color theme="0"/>
      <name val="Calibri"/>
      <family val="2"/>
      <scheme val="minor"/>
    </font>
    <font>
      <b/>
      <sz val="12"/>
      <color theme="1"/>
      <name val="Calibri"/>
      <family val="2"/>
      <scheme val="minor"/>
    </font>
    <font>
      <b/>
      <sz val="11"/>
      <color rgb="FFFF0000"/>
      <name val="Calibri"/>
      <family val="2"/>
      <scheme val="minor"/>
    </font>
    <font>
      <b/>
      <sz val="11"/>
      <color rgb="FF00B050"/>
      <name val="Calibri"/>
      <family val="2"/>
      <scheme val="minor"/>
    </font>
    <font>
      <sz val="9"/>
      <color theme="4" tint="-0.24997000396251678"/>
      <name val="Calibri"/>
      <family val="2"/>
      <scheme val="minor"/>
    </font>
    <font>
      <sz val="11"/>
      <color theme="4" tint="-0.24997000396251678"/>
      <name val="Calibri"/>
      <family val="2"/>
      <scheme val="minor"/>
    </font>
    <font>
      <i/>
      <sz val="10"/>
      <color theme="4" tint="-0.24997000396251678"/>
      <name val="Calibri"/>
      <family val="2"/>
      <scheme val="minor"/>
    </font>
    <font>
      <sz val="11"/>
      <color theme="0"/>
      <name val="Calibri"/>
      <family val="2"/>
    </font>
    <font>
      <b/>
      <sz val="8"/>
      <name val="Calibri"/>
      <family val="2"/>
    </font>
    <font>
      <sz val="11"/>
      <color theme="0"/>
      <name val="Calibri"/>
      <family val="2"/>
      <scheme val="minor"/>
    </font>
  </fonts>
  <fills count="30">
    <fill>
      <patternFill/>
    </fill>
    <fill>
      <patternFill patternType="gray125"/>
    </fill>
    <fill>
      <patternFill patternType="solid">
        <fgColor rgb="FF91C1D6"/>
        <bgColor indexed="64"/>
      </patternFill>
    </fill>
    <fill>
      <patternFill patternType="solid">
        <fgColor rgb="FF4FA7BE"/>
        <bgColor indexed="64"/>
      </patternFill>
    </fill>
    <fill>
      <patternFill patternType="solid">
        <fgColor rgb="FFC7E5CF"/>
        <bgColor indexed="64"/>
      </patternFill>
    </fill>
    <fill>
      <patternFill patternType="solid">
        <fgColor theme="2" tint="-0.09996999800205231"/>
        <bgColor indexed="64"/>
      </patternFill>
    </fill>
    <fill>
      <gradientFill degree="90">
        <stop position="0">
          <color rgb="FF91C1D6"/>
        </stop>
        <stop position="1">
          <color theme="0"/>
        </stop>
      </gradientFill>
    </fill>
    <fill>
      <gradientFill degree="90">
        <stop position="0">
          <color rgb="FF91C1D6"/>
        </stop>
        <stop position="1">
          <color theme="0"/>
        </stop>
      </gradientFill>
    </fill>
    <fill>
      <gradientFill degree="90">
        <stop position="0">
          <color rgb="FF91C1D6"/>
        </stop>
        <stop position="1">
          <color theme="0"/>
        </stop>
      </gradientFill>
    </fill>
    <fill>
      <gradientFill degree="90">
        <stop position="0">
          <color rgb="FF91C1D6"/>
        </stop>
        <stop position="1">
          <color theme="0"/>
        </stop>
      </gradientFill>
    </fill>
    <fill>
      <gradientFill degree="90">
        <stop position="0">
          <color rgb="FF91C1D6"/>
        </stop>
        <stop position="1">
          <color theme="0"/>
        </stop>
      </gradientFill>
    </fill>
    <fill>
      <gradientFill degree="90">
        <stop position="0">
          <color rgb="FF91C1D6"/>
        </stop>
        <stop position="1">
          <color theme="0"/>
        </stop>
      </gradientFill>
    </fill>
    <fill>
      <gradientFill degree="270">
        <stop position="0">
          <color rgb="FF91C1D6"/>
        </stop>
        <stop position="1">
          <color theme="0"/>
        </stop>
      </gradientFill>
    </fill>
    <fill>
      <gradientFill degree="270">
        <stop position="0">
          <color rgb="FF91C1D6"/>
        </stop>
        <stop position="1">
          <color theme="0"/>
        </stop>
      </gradientFill>
    </fill>
    <fill>
      <gradientFill degree="270">
        <stop position="0">
          <color rgb="FF91C1D6"/>
        </stop>
        <stop position="1">
          <color theme="0"/>
        </stop>
      </gradientFill>
    </fill>
    <fill>
      <gradientFill degree="270">
        <stop position="0">
          <color rgb="FF91C1D6"/>
        </stop>
        <stop position="1">
          <color theme="0"/>
        </stop>
      </gradientFill>
    </fill>
    <fill>
      <gradientFill degree="270">
        <stop position="0">
          <color rgb="FF91C1D6"/>
        </stop>
        <stop position="1">
          <color theme="0"/>
        </stop>
      </gradientFill>
    </fill>
    <fill>
      <patternFill patternType="solid">
        <fgColor theme="1"/>
        <bgColor indexed="64"/>
      </patternFill>
    </fill>
    <fill>
      <patternFill patternType="solid">
        <fgColor theme="6" tint="0.5999900102615356"/>
        <bgColor indexed="64"/>
      </patternFill>
    </fill>
    <fill>
      <patternFill patternType="solid">
        <fgColor rgb="FFFFCCCC"/>
        <bgColor indexed="64"/>
      </patternFill>
    </fill>
    <fill>
      <patternFill patternType="solid">
        <fgColor theme="9" tint="0.7999799847602844"/>
        <bgColor indexed="64"/>
      </patternFill>
    </fill>
    <fill>
      <gradientFill degree="270">
        <stop position="0">
          <color rgb="FF91C1D6"/>
        </stop>
        <stop position="1">
          <color theme="0"/>
        </stop>
      </gradientFill>
    </fill>
    <fill>
      <patternFill patternType="solid">
        <fgColor theme="0" tint="-0.04997999966144562"/>
        <bgColor indexed="64"/>
      </patternFill>
    </fill>
    <fill>
      <patternFill patternType="solid">
        <fgColor rgb="FF00B050"/>
        <bgColor indexed="64"/>
      </patternFill>
    </fill>
    <fill>
      <patternFill patternType="solid">
        <fgColor theme="1" tint="0.49998000264167786"/>
        <bgColor indexed="64"/>
      </patternFill>
    </fill>
    <fill>
      <patternFill patternType="solid">
        <fgColor theme="7" tint="0.7999799847602844"/>
        <bgColor indexed="64"/>
      </patternFill>
    </fill>
    <fill>
      <patternFill patternType="solid">
        <fgColor rgb="FFB2D1E1"/>
        <bgColor indexed="64"/>
      </patternFill>
    </fill>
    <fill>
      <patternFill patternType="solid">
        <fgColor rgb="FFFF6565"/>
        <bgColor indexed="64"/>
      </patternFill>
    </fill>
    <fill>
      <gradientFill degree="90">
        <stop position="0">
          <color rgb="FF91C1D6"/>
        </stop>
        <stop position="1">
          <color theme="0"/>
        </stop>
      </gradientFill>
    </fill>
    <fill>
      <gradientFill degree="270">
        <stop position="0">
          <color rgb="FF91C1D6"/>
        </stop>
        <stop position="1">
          <color theme="0"/>
        </stop>
      </gradientFill>
    </fill>
  </fills>
  <borders count="14">
    <border>
      <left/>
      <right/>
      <top/>
      <bottom/>
      <diagonal/>
    </border>
    <border>
      <left/>
      <right/>
      <top style="thin"/>
      <bottom/>
    </border>
    <border>
      <left style="thin"/>
      <right/>
      <top/>
      <bottom/>
    </border>
    <border>
      <left/>
      <right/>
      <top style="thin"/>
      <bottom style="thin"/>
    </border>
    <border>
      <left style="thin"/>
      <right/>
      <top style="thin"/>
      <bottom style="thin"/>
    </border>
    <border>
      <left style="thin"/>
      <right style="thin"/>
      <top style="thin"/>
      <bottom style="thin"/>
    </border>
    <border>
      <left style="dashed"/>
      <right style="dashed"/>
      <top style="thin"/>
      <bottom style="thin"/>
    </border>
    <border>
      <left style="thin"/>
      <right/>
      <top style="thin"/>
      <bottom/>
    </border>
    <border>
      <left/>
      <right style="thin"/>
      <top/>
      <bottom style="thin"/>
    </border>
    <border>
      <left style="thin"/>
      <right/>
      <top/>
      <bottom style="thin"/>
    </border>
    <border>
      <left/>
      <right style="thin">
        <color theme="1"/>
      </right>
      <top style="thin"/>
      <bottom style="thin">
        <color theme="1"/>
      </bottom>
    </border>
    <border>
      <left style="thin"/>
      <right style="thin"/>
      <top style="thin"/>
      <bottom/>
    </border>
    <border>
      <left style="thin"/>
      <right style="thin"/>
      <top/>
      <bottom/>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7">
    <xf numFmtId="0" fontId="0" fillId="0" borderId="0" xfId="0"/>
    <xf numFmtId="0" fontId="0" fillId="0" borderId="0" xfId="0" applyFill="1"/>
    <xf numFmtId="0" fontId="0" fillId="0" borderId="1" xfId="0" applyFill="1" applyBorder="1"/>
    <xf numFmtId="0" fontId="5" fillId="0" borderId="0" xfId="0" applyFont="1"/>
    <xf numFmtId="0" fontId="0" fillId="0" borderId="0" xfId="0" applyAlignment="1">
      <alignment horizontal="right"/>
    </xf>
    <xf numFmtId="0" fontId="0" fillId="0" borderId="0" xfId="0" applyFont="1" applyFill="1" applyBorder="1"/>
    <xf numFmtId="0" fontId="0" fillId="0" borderId="2" xfId="0" applyFont="1" applyFill="1" applyBorder="1"/>
    <xf numFmtId="0" fontId="6" fillId="0" borderId="0" xfId="0" applyFont="1" applyFill="1" applyBorder="1" applyAlignment="1">
      <alignment wrapText="1"/>
    </xf>
    <xf numFmtId="0" fontId="8" fillId="2" borderId="3" xfId="0" applyFont="1" applyFill="1" applyBorder="1"/>
    <xf numFmtId="0" fontId="0" fillId="3" borderId="3" xfId="0" applyFill="1" applyBorder="1" applyAlignment="1">
      <alignment/>
    </xf>
    <xf numFmtId="0" fontId="8" fillId="2" borderId="4" xfId="0" applyFont="1" applyFill="1" applyBorder="1"/>
    <xf numFmtId="0" fontId="2" fillId="3" borderId="4" xfId="0" applyFont="1" applyFill="1" applyBorder="1" applyAlignment="1">
      <alignment/>
    </xf>
    <xf numFmtId="0" fontId="8" fillId="4" borderId="4" xfId="0" applyFont="1" applyFill="1" applyBorder="1" applyAlignment="1">
      <alignment wrapText="1"/>
    </xf>
    <xf numFmtId="0" fontId="8" fillId="4" borderId="3" xfId="0" applyFont="1" applyFill="1" applyBorder="1"/>
    <xf numFmtId="0" fontId="8" fillId="4" borderId="5" xfId="0" applyFont="1" applyFill="1" applyBorder="1"/>
    <xf numFmtId="0" fontId="8" fillId="2" borderId="5" xfId="0" applyFont="1" applyFill="1" applyBorder="1"/>
    <xf numFmtId="166" fontId="5" fillId="0" borderId="5" xfId="0" applyNumberFormat="1" applyFont="1" applyBorder="1"/>
    <xf numFmtId="0" fontId="5" fillId="0" borderId="5" xfId="0" applyFont="1" applyBorder="1"/>
    <xf numFmtId="0" fontId="11" fillId="0" borderId="0" xfId="0" applyFont="1" applyAlignment="1">
      <alignment horizontal="left"/>
    </xf>
    <xf numFmtId="0" fontId="0" fillId="0" borderId="5" xfId="0" applyBorder="1"/>
    <xf numFmtId="0" fontId="0" fillId="0" borderId="4" xfId="0" applyBorder="1"/>
    <xf numFmtId="165" fontId="0" fillId="0" borderId="5" xfId="0" applyNumberFormat="1" applyBorder="1"/>
    <xf numFmtId="0" fontId="0" fillId="0" borderId="5" xfId="0" applyBorder="1" applyAlignment="1">
      <alignment wrapText="1"/>
    </xf>
    <xf numFmtId="0" fontId="0" fillId="0" borderId="4" xfId="0" applyFill="1" applyBorder="1"/>
    <xf numFmtId="0" fontId="0" fillId="0" borderId="5" xfId="0" applyFill="1" applyBorder="1"/>
    <xf numFmtId="0" fontId="5" fillId="0" borderId="4" xfId="0" applyFont="1" applyBorder="1" applyAlignment="1">
      <alignment wrapText="1"/>
    </xf>
    <xf numFmtId="165" fontId="5" fillId="0" borderId="5" xfId="0" applyNumberFormat="1" applyFont="1" applyBorder="1"/>
    <xf numFmtId="2" fontId="5" fillId="0" borderId="5" xfId="0" applyNumberFormat="1" applyFont="1" applyBorder="1"/>
    <xf numFmtId="0" fontId="2" fillId="0" borderId="0" xfId="0" applyFont="1" applyFill="1" applyBorder="1" applyAlignment="1">
      <alignment horizontal="center" vertical="center" wrapText="1"/>
    </xf>
    <xf numFmtId="0" fontId="9" fillId="0" borderId="0" xfId="0" applyFont="1" applyFill="1" applyBorder="1" applyAlignment="1">
      <alignment wrapText="1"/>
    </xf>
    <xf numFmtId="167" fontId="5" fillId="0" borderId="5" xfId="0" applyNumberFormat="1" applyFont="1" applyBorder="1"/>
    <xf numFmtId="0" fontId="9" fillId="5" borderId="6" xfId="0" applyFont="1" applyFill="1" applyBorder="1" applyAlignment="1">
      <alignment horizontal="right"/>
    </xf>
    <xf numFmtId="0" fontId="12" fillId="0" borderId="0" xfId="0" applyFont="1"/>
    <xf numFmtId="0" fontId="7" fillId="0" borderId="0" xfId="0" applyFont="1" applyFill="1" applyBorder="1"/>
    <xf numFmtId="0" fontId="0" fillId="0" borderId="0" xfId="0" applyFill="1" applyAlignment="1">
      <alignment/>
    </xf>
    <xf numFmtId="0" fontId="11" fillId="0" borderId="0" xfId="0" applyFont="1" applyFill="1" applyBorder="1" applyAlignment="1">
      <alignment vertical="top"/>
    </xf>
    <xf numFmtId="0" fontId="0" fillId="0" borderId="0" xfId="0" applyFill="1" applyBorder="1"/>
    <xf numFmtId="0" fontId="19" fillId="0" borderId="2" xfId="0" applyFont="1" applyFill="1" applyBorder="1" applyAlignment="1">
      <alignment horizontal="right"/>
    </xf>
    <xf numFmtId="0" fontId="17" fillId="0" borderId="0" xfId="0" applyFont="1" applyFill="1" applyAlignment="1">
      <alignment horizontal="right"/>
    </xf>
    <xf numFmtId="0" fontId="20" fillId="0" borderId="0" xfId="0" applyFont="1" applyFill="1" applyAlignment="1">
      <alignment horizontal="center" vertical="center"/>
    </xf>
    <xf numFmtId="0" fontId="13" fillId="6" borderId="0" xfId="0" applyFont="1" applyFill="1" applyBorder="1" applyAlignment="1">
      <alignment horizontal="right"/>
    </xf>
    <xf numFmtId="0" fontId="15" fillId="7" borderId="0" xfId="0" applyFont="1" applyFill="1" applyBorder="1" applyAlignment="1">
      <alignment horizontal="right"/>
    </xf>
    <xf numFmtId="0" fontId="2" fillId="8" borderId="0" xfId="0" applyFont="1" applyFill="1" applyBorder="1" applyAlignment="1">
      <alignment horizontal="center" vertical="center" wrapText="1"/>
    </xf>
    <xf numFmtId="0" fontId="9" fillId="9" borderId="0" xfId="0" applyFont="1" applyFill="1" applyBorder="1" applyAlignment="1">
      <alignment wrapText="1"/>
    </xf>
    <xf numFmtId="0" fontId="0" fillId="10" borderId="0" xfId="0" applyFill="1" applyBorder="1"/>
    <xf numFmtId="0" fontId="7" fillId="11" borderId="0" xfId="0" applyFont="1" applyFill="1" applyBorder="1"/>
    <xf numFmtId="0" fontId="13" fillId="12" borderId="0" xfId="0" applyFont="1" applyFill="1" applyBorder="1" applyAlignment="1">
      <alignment horizontal="right"/>
    </xf>
    <xf numFmtId="0" fontId="2" fillId="13" borderId="0" xfId="0" applyFont="1" applyFill="1" applyBorder="1" applyAlignment="1">
      <alignment horizontal="center" vertical="center" wrapText="1"/>
    </xf>
    <xf numFmtId="0" fontId="9" fillId="14" borderId="0" xfId="0" applyFont="1" applyFill="1" applyBorder="1" applyAlignment="1">
      <alignment wrapText="1"/>
    </xf>
    <xf numFmtId="0" fontId="0" fillId="15" borderId="0" xfId="0" applyFill="1" applyBorder="1"/>
    <xf numFmtId="0" fontId="7" fillId="16" borderId="0" xfId="0" applyFont="1" applyFill="1" applyBorder="1"/>
    <xf numFmtId="0" fontId="21" fillId="17" borderId="0" xfId="0" applyFont="1" applyFill="1" applyAlignment="1">
      <alignment horizontal="left"/>
    </xf>
    <xf numFmtId="0" fontId="21" fillId="17" borderId="0" xfId="0" applyFont="1" applyFill="1" applyBorder="1" applyAlignment="1">
      <alignment horizontal="right"/>
    </xf>
    <xf numFmtId="0" fontId="5" fillId="18" borderId="4" xfId="0" applyFont="1" applyFill="1" applyBorder="1"/>
    <xf numFmtId="0" fontId="5" fillId="19" borderId="7" xfId="0" applyFont="1" applyFill="1" applyBorder="1"/>
    <xf numFmtId="0" fontId="5" fillId="19" borderId="4" xfId="0" applyFont="1" applyFill="1" applyBorder="1"/>
    <xf numFmtId="0" fontId="5" fillId="20" borderId="4" xfId="0" applyFont="1" applyFill="1" applyBorder="1"/>
    <xf numFmtId="0" fontId="5" fillId="20" borderId="2" xfId="0" applyFont="1" applyFill="1" applyBorder="1"/>
    <xf numFmtId="0" fontId="22" fillId="21" borderId="0" xfId="0" applyFont="1" applyFill="1" applyBorder="1" applyAlignment="1">
      <alignment horizontal="right"/>
    </xf>
    <xf numFmtId="168" fontId="14" fillId="22" borderId="5" xfId="0" applyNumberFormat="1" applyFont="1" applyFill="1" applyBorder="1" applyAlignment="1">
      <alignment vertical="center"/>
    </xf>
    <xf numFmtId="168" fontId="16" fillId="22" borderId="5" xfId="0" applyNumberFormat="1" applyFont="1" applyFill="1" applyBorder="1" applyAlignment="1">
      <alignment vertical="center"/>
    </xf>
    <xf numFmtId="0" fontId="18" fillId="23" borderId="4" xfId="0" applyFont="1" applyFill="1" applyBorder="1" applyAlignment="1">
      <alignment vertical="center"/>
    </xf>
    <xf numFmtId="0" fontId="18" fillId="23" borderId="8" xfId="0" applyFont="1" applyFill="1" applyBorder="1" applyAlignment="1">
      <alignment horizontal="left" vertical="center"/>
    </xf>
    <xf numFmtId="0" fontId="23" fillId="23" borderId="7" xfId="0" applyFont="1" applyFill="1" applyBorder="1" applyAlignment="1">
      <alignment horizontal="left" vertical="center" wrapText="1"/>
    </xf>
    <xf numFmtId="0" fontId="24" fillId="23" borderId="9" xfId="0" applyFont="1" applyFill="1" applyBorder="1" applyAlignment="1">
      <alignment vertical="center" wrapText="1"/>
    </xf>
    <xf numFmtId="0" fontId="24" fillId="24" borderId="5" xfId="0" applyFont="1" applyFill="1" applyBorder="1" applyAlignment="1">
      <alignment vertical="center" wrapText="1"/>
    </xf>
    <xf numFmtId="0" fontId="0" fillId="17" borderId="0" xfId="0" applyFill="1"/>
    <xf numFmtId="164" fontId="25" fillId="22" borderId="10" xfId="0" applyNumberFormat="1" applyFont="1" applyFill="1" applyBorder="1"/>
    <xf numFmtId="168" fontId="14" fillId="22" borderId="4" xfId="0" applyNumberFormat="1" applyFont="1" applyFill="1" applyBorder="1" applyAlignment="1">
      <alignment vertical="center"/>
    </xf>
    <xf numFmtId="0" fontId="18" fillId="23" borderId="5" xfId="0" applyFont="1" applyFill="1" applyBorder="1" applyAlignment="1">
      <alignment vertical="center"/>
    </xf>
    <xf numFmtId="0" fontId="9" fillId="0" borderId="5" xfId="0" applyFont="1" applyFill="1" applyBorder="1" applyProtection="1">
      <protection locked="0"/>
    </xf>
    <xf numFmtId="0" fontId="5" fillId="0" borderId="5" xfId="0" applyFont="1" applyFill="1" applyBorder="1" applyProtection="1">
      <protection locked="0"/>
    </xf>
    <xf numFmtId="0" fontId="5" fillId="0" borderId="11" xfId="0" applyFont="1" applyFill="1" applyBorder="1" applyProtection="1">
      <protection locked="0"/>
    </xf>
    <xf numFmtId="164" fontId="5" fillId="0" borderId="5" xfId="0" applyNumberFormat="1" applyFont="1" applyFill="1" applyBorder="1" applyProtection="1">
      <protection locked="0"/>
    </xf>
    <xf numFmtId="0" fontId="5" fillId="0" borderId="12" xfId="0" applyFont="1" applyFill="1" applyBorder="1" applyProtection="1">
      <protection locked="0"/>
    </xf>
    <xf numFmtId="0" fontId="17" fillId="24" borderId="4" xfId="0" applyFont="1" applyFill="1" applyBorder="1" applyAlignment="1">
      <alignment horizontal="left"/>
    </xf>
    <xf numFmtId="0" fontId="5" fillId="18" borderId="7" xfId="0" applyFont="1" applyFill="1" applyBorder="1"/>
    <xf numFmtId="0" fontId="17" fillId="24" borderId="5" xfId="0" applyFont="1" applyFill="1" applyBorder="1"/>
    <xf numFmtId="9" fontId="5" fillId="0" borderId="11" xfId="0" applyNumberFormat="1" applyFont="1" applyFill="1" applyBorder="1" applyProtection="1">
      <protection locked="0"/>
    </xf>
    <xf numFmtId="164" fontId="5" fillId="25" borderId="5" xfId="0" applyNumberFormat="1" applyFont="1" applyFill="1" applyBorder="1" applyProtection="1">
      <protection locked="0"/>
    </xf>
    <xf numFmtId="168" fontId="26" fillId="22" borderId="5" xfId="0" applyNumberFormat="1" applyFont="1" applyFill="1" applyBorder="1" applyAlignment="1">
      <alignment vertical="center"/>
    </xf>
    <xf numFmtId="168" fontId="27" fillId="22" borderId="5" xfId="0" applyNumberFormat="1" applyFont="1" applyFill="1" applyBorder="1" applyAlignment="1">
      <alignment vertical="center"/>
    </xf>
    <xf numFmtId="0" fontId="5" fillId="0" borderId="4" xfId="0" applyFont="1" applyFill="1" applyBorder="1" applyAlignment="1">
      <alignment wrapText="1"/>
    </xf>
    <xf numFmtId="0" fontId="8" fillId="0" borderId="4" xfId="0" applyFont="1" applyFill="1" applyBorder="1" applyAlignment="1">
      <alignment wrapText="1"/>
    </xf>
    <xf numFmtId="2" fontId="9" fillId="26" borderId="5" xfId="0" applyNumberFormat="1" applyFont="1" applyFill="1" applyBorder="1"/>
    <xf numFmtId="166" fontId="9" fillId="26" borderId="5" xfId="0" applyNumberFormat="1" applyFont="1" applyFill="1" applyBorder="1" applyAlignment="1">
      <alignment horizontal="right"/>
    </xf>
    <xf numFmtId="166" fontId="5" fillId="0" borderId="5" xfId="0" applyNumberFormat="1" applyFont="1" applyBorder="1" applyAlignment="1">
      <alignment horizontal="right"/>
    </xf>
    <xf numFmtId="0" fontId="10" fillId="26" borderId="5" xfId="0" applyFont="1" applyFill="1" applyBorder="1"/>
    <xf numFmtId="0" fontId="5" fillId="0" borderId="5" xfId="0" applyFont="1" applyFill="1" applyBorder="1"/>
    <xf numFmtId="0" fontId="5" fillId="0" borderId="5" xfId="0" applyFont="1" applyBorder="1" applyAlignment="1">
      <alignment wrapText="1"/>
    </xf>
    <xf numFmtId="0" fontId="5" fillId="0" borderId="5" xfId="0" applyFont="1" applyFill="1" applyBorder="1" applyAlignment="1">
      <alignment wrapText="1"/>
    </xf>
    <xf numFmtId="2" fontId="5" fillId="0" borderId="13" xfId="0" applyNumberFormat="1" applyFont="1" applyFill="1" applyBorder="1"/>
    <xf numFmtId="166" fontId="5" fillId="0" borderId="13" xfId="0" applyNumberFormat="1" applyFont="1" applyFill="1" applyBorder="1"/>
    <xf numFmtId="0" fontId="5" fillId="0" borderId="13" xfId="0" applyFont="1" applyBorder="1"/>
    <xf numFmtId="165" fontId="5" fillId="0" borderId="13" xfId="0" applyNumberFormat="1" applyFont="1" applyBorder="1"/>
    <xf numFmtId="2" fontId="5" fillId="0" borderId="13" xfId="0" applyNumberFormat="1" applyFont="1" applyBorder="1"/>
    <xf numFmtId="166" fontId="5" fillId="0" borderId="13" xfId="0" applyNumberFormat="1" applyFont="1" applyBorder="1"/>
    <xf numFmtId="167" fontId="5" fillId="0" borderId="13" xfId="0" applyNumberFormat="1" applyFont="1" applyBorder="1"/>
    <xf numFmtId="2" fontId="9" fillId="4" borderId="5" xfId="0" applyNumberFormat="1" applyFont="1" applyFill="1" applyBorder="1"/>
    <xf numFmtId="166" fontId="9" fillId="4" borderId="5" xfId="0" applyNumberFormat="1" applyFont="1" applyFill="1" applyBorder="1" applyAlignment="1">
      <alignment horizontal="right"/>
    </xf>
    <xf numFmtId="0" fontId="9" fillId="4" borderId="5" xfId="0" applyFont="1" applyFill="1" applyBorder="1"/>
    <xf numFmtId="165" fontId="9" fillId="4" borderId="5" xfId="0" applyNumberFormat="1" applyFont="1" applyFill="1" applyBorder="1" applyAlignment="1">
      <alignment horizontal="right"/>
    </xf>
    <xf numFmtId="165" fontId="10" fillId="4" borderId="5" xfId="0" applyNumberFormat="1" applyFont="1" applyFill="1" applyBorder="1"/>
    <xf numFmtId="167" fontId="10" fillId="4" borderId="5" xfId="0" applyNumberFormat="1" applyFont="1" applyFill="1" applyBorder="1"/>
    <xf numFmtId="0" fontId="17" fillId="23" borderId="4" xfId="0" applyFont="1" applyFill="1" applyBorder="1" applyAlignment="1">
      <alignment vertical="center"/>
    </xf>
    <xf numFmtId="0" fontId="18" fillId="23" borderId="5" xfId="0" applyFont="1" applyFill="1" applyBorder="1" applyAlignment="1" applyProtection="1">
      <alignment vertical="center" wrapText="1"/>
      <protection locked="0"/>
    </xf>
    <xf numFmtId="0" fontId="17" fillId="27" borderId="4" xfId="0" applyFont="1" applyFill="1" applyBorder="1" applyAlignment="1">
      <alignment vertical="center"/>
    </xf>
    <xf numFmtId="0" fontId="18" fillId="27" borderId="5" xfId="0" applyFont="1" applyFill="1" applyBorder="1" applyAlignment="1" applyProtection="1">
      <alignment vertical="center" wrapText="1"/>
      <protection locked="0"/>
    </xf>
    <xf numFmtId="0" fontId="24" fillId="27" borderId="9" xfId="0" applyFont="1" applyFill="1" applyBorder="1" applyAlignment="1">
      <alignment vertical="center" wrapText="1"/>
    </xf>
    <xf numFmtId="0" fontId="23" fillId="27" borderId="7" xfId="0" applyFont="1" applyFill="1" applyBorder="1" applyAlignment="1">
      <alignment horizontal="left" vertical="center" wrapText="1"/>
    </xf>
    <xf numFmtId="0" fontId="18" fillId="27" borderId="13" xfId="0" applyFont="1" applyFill="1" applyBorder="1" applyAlignment="1">
      <alignment horizontal="left" vertical="center"/>
    </xf>
    <xf numFmtId="0" fontId="18" fillId="27" borderId="4" xfId="0" applyFont="1" applyFill="1" applyBorder="1" applyAlignment="1">
      <alignment vertical="center" wrapText="1"/>
    </xf>
    <xf numFmtId="0" fontId="18" fillId="27" borderId="5" xfId="0" applyFont="1" applyFill="1" applyBorder="1" applyAlignment="1">
      <alignment vertical="center" wrapText="1"/>
    </xf>
    <xf numFmtId="0" fontId="28" fillId="28" borderId="0" xfId="0" applyFont="1" applyFill="1" applyBorder="1" applyAlignment="1">
      <alignment horizontal="left" wrapText="1"/>
    </xf>
    <xf numFmtId="0" fontId="29" fillId="0" borderId="0" xfId="0" applyFont="1" applyAlignment="1">
      <alignment horizontal="left" wrapText="1"/>
    </xf>
    <xf numFmtId="0" fontId="30" fillId="29" borderId="0" xfId="0" applyFont="1" applyFill="1" applyBorder="1" applyAlignment="1">
      <alignment horizontal="left"/>
    </xf>
    <xf numFmtId="0" fontId="30" fillId="0" borderId="0" xfId="0" applyFont="1" applyAlignment="1">
      <alignment horizontal="left"/>
    </xf>
  </cellXfs>
  <cellStyles count="6">
    <cellStyle name="Normal" xfId="0"/>
    <cellStyle name="Percent" xfId="15"/>
    <cellStyle name="Currency" xfId="16"/>
    <cellStyle name="Currency [0]" xfId="17"/>
    <cellStyle name="Comma" xfId="18"/>
    <cellStyle name="Comma [0]" xfId="19"/>
  </cellStyles>
  <dxfs count="94">
    <dxf>
      <fill>
        <patternFill>
          <bgColor theme="0" tint="-0.149959996342659"/>
        </patternFill>
      </fill>
      <border>
        <left style="dashed"/>
        <right style="dashed"/>
        <top style="thin"/>
        <bottom style="thin"/>
        <vertical/>
        <horizontal/>
      </border>
    </dxf>
    <dxf>
      <fill>
        <patternFill patternType="none"/>
      </fill>
      <border>
        <left/>
        <vertical/>
        <horizontal/>
      </border>
    </dxf>
    <dxf>
      <fill>
        <patternFill patternType="none"/>
      </fill>
      <border>
        <left/>
        <vertical/>
        <horizontal/>
      </border>
    </dxf>
    <dxf>
      <fill>
        <patternFill patternType="none"/>
      </fill>
      <border>
        <left/>
      </border>
    </dxf>
    <dxf>
      <font>
        <color theme="0"/>
      </font>
      <fill>
        <patternFill patternType="none"/>
      </fill>
      <border>
        <right/>
        <top/>
        <bottom/>
        <vertical/>
        <horizontal/>
      </border>
    </dxf>
    <dxf>
      <font>
        <color theme="0"/>
      </font>
      <fill>
        <patternFill patternType="none"/>
      </fill>
      <border>
        <right/>
        <top/>
        <bottom/>
        <vertical/>
        <horizontal/>
      </border>
    </dxf>
    <dxf>
      <font>
        <color theme="0"/>
      </font>
      <fill>
        <patternFill patternType="none"/>
      </fill>
      <border>
        <right/>
        <top/>
        <bottom/>
        <vertical/>
        <horizontal/>
      </border>
    </dxf>
    <dxf>
      <font>
        <color theme="0"/>
      </font>
      <fill>
        <patternFill patternType="none"/>
      </fill>
      <border>
        <right/>
        <top/>
        <bottom/>
        <vertical/>
        <horizontal/>
      </border>
    </dxf>
    <dxf>
      <font>
        <color theme="0"/>
      </font>
      <fill>
        <patternFill patternType="none"/>
      </fill>
      <border>
        <right/>
        <top/>
        <bottom/>
        <vertical/>
        <horizontal/>
      </border>
    </dxf>
    <dxf>
      <font>
        <color theme="0"/>
      </font>
      <fill>
        <patternFill patternType="none"/>
      </fill>
      <border>
        <right/>
        <top/>
        <bottom/>
        <vertical/>
        <horizontal/>
      </border>
    </dxf>
    <dxf>
      <font>
        <color theme="0"/>
      </font>
      <fill>
        <patternFill patternType="none"/>
      </fill>
      <border>
        <right/>
        <top/>
        <bottom/>
        <vertical/>
        <horizontal/>
      </border>
    </dxf>
    <dxf>
      <font>
        <color theme="0"/>
      </font>
      <fill>
        <patternFill patternType="none"/>
      </fill>
      <border>
        <right/>
        <top/>
        <bottom/>
        <vertical/>
        <horizontal/>
      </border>
    </dxf>
    <dxf>
      <font>
        <color rgb="FFC7E5CF"/>
      </font>
      <border/>
    </dxf>
    <dxf>
      <font>
        <color rgb="FFB2D1E1"/>
      </font>
      <border/>
    </dxf>
    <dxf>
      <font>
        <color theme="0"/>
      </font>
      <fill>
        <patternFill patternType="none"/>
      </fill>
      <border/>
    </dxf>
    <dxf>
      <font>
        <color theme="0"/>
      </font>
      <fill>
        <patternFill patternType="none"/>
      </fill>
      <border>
        <right/>
        <top/>
        <bottom/>
        <vertical/>
        <horizontal/>
      </border>
    </dxf>
    <dxf>
      <fill>
        <patternFill>
          <bgColor theme="1"/>
        </patternFill>
      </fill>
      <border>
        <left style="thin"/>
        <right style="thin"/>
        <top style="thin"/>
        <bottom style="thin"/>
        <vertical/>
        <horizontal/>
      </border>
    </dxf>
    <dxf>
      <font>
        <color theme="0" tint="-0.04997999966144562"/>
      </font>
      <fill>
        <patternFill>
          <bgColor theme="0" tint="-0.04997999966144562"/>
        </patternFill>
      </fill>
      <border>
        <left style="thin"/>
        <right style="thin"/>
        <top style="thin"/>
        <bottom style="thin"/>
        <vertical/>
        <horizontal/>
      </border>
    </dxf>
    <dxf>
      <font>
        <color theme="1" tint="0.49998000264167786"/>
      </font>
      <fill>
        <patternFill>
          <bgColor theme="1" tint="0.49998000264167786"/>
        </patternFill>
      </fill>
      <border>
        <left style="thin"/>
        <right style="thin"/>
        <top style="thin"/>
        <bottom style="thin"/>
        <vertical/>
        <horizontal/>
      </border>
    </dxf>
    <dxf>
      <font>
        <color theme="0" tint="-0.04997999966144562"/>
      </font>
      <fill>
        <patternFill>
          <bgColor theme="0" tint="-0.04997999966144562"/>
        </patternFill>
      </fill>
      <border>
        <left style="thin"/>
        <right style="thin"/>
        <top style="thin"/>
        <bottom style="thin"/>
        <vertical/>
        <horizontal/>
      </border>
    </dxf>
    <dxf>
      <font>
        <color theme="1" tint="0.49998000264167786"/>
      </font>
      <fill>
        <patternFill>
          <bgColor theme="1" tint="0.49998000264167786"/>
        </patternFill>
      </fill>
      <border>
        <left style="thin"/>
        <right style="thin"/>
        <top style="thin"/>
        <bottom style="thin"/>
        <vertical/>
        <horizontal/>
      </border>
    </dxf>
    <dxf>
      <font>
        <color theme="0"/>
      </font>
      <fill>
        <patternFill patternType="none"/>
      </fill>
      <border>
        <right/>
        <top/>
        <bottom/>
        <vertical/>
        <horizontal/>
      </border>
    </dxf>
    <dxf>
      <fill>
        <patternFill>
          <bgColor theme="1"/>
        </patternFill>
      </fill>
      <border>
        <left style="thin"/>
        <right style="thin"/>
        <top style="thin"/>
        <bottom style="thin"/>
        <vertical/>
        <horizontal/>
      </border>
    </dxf>
    <dxf>
      <font>
        <color theme="0" tint="-0.04997999966144562"/>
      </font>
      <fill>
        <patternFill>
          <bgColor theme="0" tint="-0.04997999966144562"/>
        </patternFill>
      </fill>
      <border>
        <left style="thin"/>
        <right style="thin"/>
        <top style="thin"/>
        <bottom style="thin"/>
        <vertical/>
        <horizontal/>
      </border>
    </dxf>
    <dxf>
      <font>
        <color theme="1" tint="0.49998000264167786"/>
      </font>
      <fill>
        <patternFill>
          <bgColor theme="1" tint="0.49998000264167786"/>
        </patternFill>
      </fill>
      <border>
        <left style="thin"/>
        <right style="thin"/>
        <top style="thin"/>
        <bottom style="thin"/>
        <vertical/>
        <horizontal/>
      </border>
    </dxf>
    <dxf>
      <fill>
        <patternFill>
          <bgColor theme="0" tint="-0.04997999966144562"/>
        </patternFill>
      </fill>
      <border>
        <left style="thin"/>
        <right style="thin"/>
        <top style="thin"/>
        <bottom style="thin"/>
        <vertical/>
        <horizontal/>
      </border>
    </dxf>
    <dxf>
      <font>
        <color theme="1" tint="0.49998000264167786"/>
      </font>
      <fill>
        <patternFill>
          <bgColor theme="1" tint="0.49998000264167786"/>
        </patternFill>
      </fill>
      <border>
        <left style="thin"/>
        <right style="thin"/>
        <top style="thin"/>
        <bottom style="thin"/>
        <vertical/>
        <horizontal/>
      </border>
    </dxf>
    <dxf>
      <font>
        <color theme="0"/>
      </font>
      <fill>
        <patternFill patternType="none"/>
      </fill>
      <border>
        <right/>
        <top/>
        <bottom/>
        <vertical/>
        <horizontal/>
      </border>
    </dxf>
    <dxf>
      <fill>
        <patternFill>
          <bgColor theme="1"/>
        </patternFill>
      </fill>
      <border>
        <left style="thin"/>
        <right style="thin"/>
        <top style="thin"/>
        <bottom style="thin"/>
        <vertical/>
        <horizontal/>
      </border>
    </dxf>
    <dxf>
      <fill>
        <patternFill>
          <bgColor theme="0" tint="-0.04997999966144562"/>
        </patternFill>
      </fill>
      <border>
        <left style="thin"/>
        <right style="thin"/>
        <top style="thin"/>
        <bottom style="thin"/>
        <vertical/>
        <horizontal/>
      </border>
    </dxf>
    <dxf>
      <font>
        <color theme="1" tint="0.49998000264167786"/>
      </font>
      <fill>
        <patternFill>
          <bgColor theme="1" tint="0.49998000264167786"/>
        </patternFill>
      </fill>
      <border>
        <left style="thin"/>
        <right style="thin"/>
        <top style="thin"/>
        <bottom style="thin"/>
        <vertical/>
        <horizontal/>
      </border>
    </dxf>
    <dxf>
      <fill>
        <patternFill>
          <bgColor theme="0" tint="-0.04997999966144562"/>
        </patternFill>
      </fill>
      <border>
        <left style="thin"/>
        <right style="thin"/>
        <top style="thin"/>
        <bottom style="thin"/>
        <vertical/>
        <horizontal/>
      </border>
    </dxf>
    <dxf>
      <font>
        <color theme="1" tint="0.49998000264167786"/>
      </font>
      <fill>
        <patternFill>
          <bgColor theme="1" tint="0.49998000264167786"/>
        </patternFill>
      </fill>
      <border>
        <left style="thin"/>
        <right style="thin"/>
        <top style="thin"/>
        <bottom style="thin"/>
        <vertical/>
        <horizontal/>
      </border>
    </dxf>
    <dxf>
      <font>
        <color theme="0"/>
      </font>
      <fill>
        <patternFill patternType="none"/>
      </fill>
      <border>
        <right/>
        <top/>
        <bottom/>
        <vertical/>
        <horizontal/>
      </border>
    </dxf>
    <dxf>
      <fill>
        <patternFill>
          <bgColor theme="1"/>
        </patternFill>
      </fill>
      <border>
        <left style="thin"/>
        <right style="thin"/>
        <top style="thin"/>
        <bottom style="thin"/>
        <vertical/>
        <horizontal/>
      </border>
    </dxf>
    <dxf>
      <fill>
        <patternFill>
          <bgColor theme="0" tint="-0.04997999966144562"/>
        </patternFill>
      </fill>
      <border>
        <left style="thin"/>
        <right style="thin"/>
        <top style="thin"/>
        <bottom style="thin"/>
        <vertical/>
        <horizontal/>
      </border>
    </dxf>
    <dxf>
      <font>
        <color theme="1" tint="0.49998000264167786"/>
      </font>
      <fill>
        <patternFill>
          <bgColor theme="1" tint="0.49998000264167786"/>
        </patternFill>
      </fill>
      <border>
        <left style="thin"/>
        <right style="thin"/>
        <top style="thin"/>
        <bottom style="thin"/>
        <vertical/>
        <horizontal/>
      </border>
    </dxf>
    <dxf>
      <fill>
        <patternFill>
          <bgColor theme="0" tint="-0.04997999966144562"/>
        </patternFill>
      </fill>
      <border>
        <left style="thin"/>
        <right style="thin"/>
        <top style="thin"/>
        <bottom style="thin"/>
        <vertical/>
        <horizontal/>
      </border>
    </dxf>
    <dxf>
      <font>
        <color theme="1" tint="0.49998000264167786"/>
      </font>
      <fill>
        <patternFill>
          <bgColor theme="1" tint="0.49998000264167786"/>
        </patternFill>
      </fill>
      <border>
        <left style="thin"/>
        <right style="thin"/>
        <top style="thin"/>
        <bottom style="thin"/>
        <vertical/>
        <horizontal/>
      </border>
    </dxf>
    <dxf>
      <font>
        <color theme="0"/>
      </font>
      <fill>
        <patternFill patternType="none"/>
      </fill>
      <border>
        <right/>
        <bottom/>
        <vertical/>
        <horizontal/>
      </border>
    </dxf>
    <dxf>
      <font>
        <color theme="0"/>
      </font>
      <fill>
        <patternFill>
          <bgColor theme="0"/>
        </patternFill>
      </fill>
      <border>
        <right/>
        <bottom/>
        <vertical/>
        <horizontal/>
      </border>
    </dxf>
    <dxf>
      <font>
        <color theme="0"/>
      </font>
      <fill>
        <patternFill>
          <bgColor theme="0"/>
        </patternFill>
      </fill>
      <border>
        <right/>
        <bottom/>
        <vertical/>
        <horizontal/>
      </border>
    </dxf>
    <dxf>
      <font>
        <color theme="0"/>
      </font>
      <fill>
        <patternFill patternType="none"/>
      </fill>
      <border>
        <right/>
        <bottom/>
        <vertical/>
        <horizontal/>
      </border>
    </dxf>
    <dxf>
      <border>
        <top/>
        <vertical/>
        <horizontal/>
      </border>
    </dxf>
    <dxf>
      <font>
        <color theme="0"/>
      </font>
      <fill>
        <patternFill patternType="none"/>
      </fill>
      <border>
        <right/>
        <bottom/>
        <vertical/>
        <horizontal/>
      </border>
    </dxf>
    <dxf>
      <font>
        <color theme="0"/>
      </font>
      <fill>
        <patternFill patternType="none"/>
      </fill>
      <border>
        <right/>
        <top/>
        <vertical/>
        <horizontal/>
      </border>
    </dxf>
    <dxf>
      <border>
        <top/>
        <vertical/>
        <horizontal/>
      </border>
    </dxf>
    <dxf>
      <font>
        <color theme="0"/>
      </font>
      <fill>
        <patternFill patternType="none"/>
      </fill>
      <border>
        <right/>
        <bottom/>
        <vertical/>
        <horizontal/>
      </border>
    </dxf>
    <dxf>
      <font>
        <color theme="0"/>
      </font>
      <fill>
        <patternFill patternType="none"/>
      </fill>
      <border>
        <right/>
        <top/>
        <vertical/>
        <horizontal/>
      </border>
    </dxf>
    <dxf>
      <border>
        <top/>
        <vertical/>
        <horizontal/>
      </border>
    </dxf>
    <dxf>
      <font>
        <color theme="0"/>
      </font>
      <fill>
        <patternFill patternType="none"/>
      </fill>
      <border>
        <right/>
        <bottom/>
        <vertical/>
        <horizontal/>
      </border>
    </dxf>
    <dxf>
      <font>
        <color theme="0"/>
      </font>
      <fill>
        <patternFill patternType="none"/>
      </fill>
      <border>
        <right/>
        <top/>
        <vertical/>
        <horizontal/>
      </border>
    </dxf>
    <dxf>
      <border>
        <top/>
        <vertical/>
        <horizontal/>
      </border>
    </dxf>
    <dxf>
      <font>
        <color theme="0"/>
      </font>
      <fill>
        <patternFill patternType="none"/>
      </fill>
      <border>
        <right/>
        <bottom/>
        <vertical/>
        <horizontal/>
      </border>
    </dxf>
    <dxf>
      <font>
        <color theme="0"/>
      </font>
      <fill>
        <patternFill patternType="none"/>
      </fill>
      <border>
        <right/>
        <top/>
        <vertical/>
        <horizontal/>
      </border>
    </dxf>
    <dxf>
      <fill>
        <patternFill patternType="none"/>
      </fill>
      <border>
        <right/>
        <top/>
        <vertical/>
        <horizontal/>
      </border>
    </dxf>
    <dxf>
      <fill>
        <patternFill patternType="none"/>
      </fill>
      <border>
        <right/>
        <top/>
        <vertical/>
        <horizontal/>
      </border>
    </dxf>
    <dxf>
      <fill>
        <patternFill patternType="none"/>
      </fill>
      <border>
        <right/>
        <top/>
        <vertical/>
        <horizontal/>
      </border>
    </dxf>
    <dxf>
      <fill>
        <patternFill patternType="none"/>
      </fill>
      <border>
        <right/>
        <top/>
        <vertical/>
        <horizontal/>
      </border>
    </dxf>
    <dxf>
      <font>
        <color theme="0"/>
      </font>
      <fill>
        <patternFill>
          <bgColor theme="0"/>
        </patternFill>
      </fill>
      <border>
        <right/>
        <top/>
        <bottom/>
      </border>
    </dxf>
    <dxf>
      <font>
        <color rgb="FFFF0000"/>
      </font>
      <border/>
    </dxf>
    <dxf>
      <font>
        <color rgb="FFFF0000"/>
      </font>
      <border/>
    </dxf>
    <dxf>
      <font>
        <color rgb="FFFF0000"/>
      </font>
      <border/>
    </dxf>
    <dxf>
      <font>
        <color rgb="FFFF0000"/>
      </font>
      <border/>
    </dxf>
    <dxf>
      <font>
        <color rgb="FFFF0000"/>
      </font>
      <border/>
    </dxf>
    <dxf>
      <font>
        <color rgb="FFFF0000"/>
      </font>
      <fill>
        <patternFill patternType="none"/>
      </fill>
      <border/>
    </dxf>
    <dxf>
      <font>
        <color rgb="FFFF0000"/>
      </font>
      <border/>
    </dxf>
    <dxf>
      <font>
        <color theme="5"/>
      </font>
      <fill>
        <patternFill patternType="solid">
          <bgColor theme="0" tint="-0.04997999966144562"/>
        </patternFill>
      </fill>
      <border/>
    </dxf>
    <dxf>
      <font>
        <color rgb="FFFF0000"/>
      </font>
      <fill>
        <patternFill patternType="solid">
          <bgColor theme="0" tint="-0.04997999966144562"/>
        </patternFill>
      </fill>
      <border/>
    </dxf>
    <dxf>
      <font>
        <color rgb="FF00B050"/>
      </font>
      <fill>
        <patternFill patternType="solid">
          <bgColor theme="0" tint="-0.04997999966144562"/>
        </patternFill>
      </fill>
      <border/>
    </dxf>
    <dxf>
      <font>
        <color theme="0"/>
      </font>
      <fill>
        <patternFill>
          <bgColor theme="0"/>
        </patternFill>
      </fill>
      <border>
        <right/>
        <top/>
        <bottom/>
        <vertical/>
        <horizontal/>
      </border>
    </dxf>
    <dxf>
      <font>
        <color rgb="FFFF0000"/>
      </font>
      <border/>
    </dxf>
    <dxf>
      <font>
        <color theme="0"/>
      </font>
      <fill>
        <patternFill>
          <bgColor theme="0"/>
        </patternFill>
      </fill>
      <border>
        <right/>
        <top/>
        <bottom/>
        <vertical/>
        <horizontal/>
      </border>
    </dxf>
    <dxf>
      <font>
        <color rgb="FFFF0000"/>
      </font>
      <border/>
    </dxf>
    <dxf>
      <font>
        <color theme="0"/>
      </font>
      <fill>
        <patternFill>
          <bgColor theme="0"/>
        </patternFill>
      </fill>
      <border>
        <right/>
        <top/>
        <bottom/>
        <vertical/>
        <horizontal/>
      </border>
    </dxf>
    <dxf>
      <font>
        <color rgb="FFFF0000"/>
      </font>
      <border/>
    </dxf>
    <dxf>
      <font>
        <color theme="0"/>
      </font>
      <fill>
        <patternFill patternType="solid">
          <bgColor theme="0"/>
        </patternFill>
      </fill>
      <border>
        <right/>
        <top/>
        <bottom/>
        <vertical/>
        <horizontal/>
      </border>
    </dxf>
    <dxf>
      <font>
        <color rgb="FFFF0000"/>
      </font>
      <border/>
    </dxf>
    <dxf>
      <font>
        <color theme="0"/>
      </font>
      <fill>
        <patternFill>
          <bgColor theme="0"/>
        </patternFill>
      </fill>
      <border>
        <right/>
        <top/>
        <bottom/>
        <vertical/>
        <horizontal/>
      </border>
    </dxf>
    <dxf>
      <font>
        <color theme="0"/>
      </font>
      <fill>
        <patternFill>
          <bgColor theme="0"/>
        </patternFill>
      </fill>
      <border>
        <right/>
        <top/>
        <bottom/>
        <vertical/>
        <horizontal/>
      </border>
    </dxf>
    <dxf>
      <font>
        <color theme="0"/>
      </font>
      <fill>
        <patternFill patternType="solid">
          <bgColor theme="0"/>
        </patternFill>
      </fill>
      <border>
        <right/>
        <top/>
        <bottom/>
        <vertical/>
        <horizontal/>
      </border>
    </dxf>
    <dxf>
      <font>
        <color theme="0"/>
      </font>
      <fill>
        <patternFill>
          <bgColor theme="0"/>
        </patternFill>
      </fill>
      <border>
        <right/>
        <top/>
        <bottom/>
        <vertical/>
        <horizontal/>
      </border>
    </dxf>
    <dxf>
      <font>
        <color rgb="FFFF0000"/>
      </font>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0"/>
        </patternFill>
      </fill>
      <border/>
    </dxf>
    <dxf>
      <fill>
        <patternFill>
          <bgColor theme="7"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190500</xdr:rowOff>
    </xdr:from>
    <xdr:to>
      <xdr:col>11</xdr:col>
      <xdr:colOff>0</xdr:colOff>
      <xdr:row>0</xdr:row>
      <xdr:rowOff>190500</xdr:rowOff>
    </xdr:to>
    <xdr:sp macro="" textlink="">
      <xdr:nvSpPr>
        <xdr:cNvPr id="5" name="Rectangle 4"/>
        <xdr:cNvSpPr/>
      </xdr:nvSpPr>
      <xdr:spPr>
        <a:xfrm>
          <a:off x="38100" y="190500"/>
          <a:ext cx="13287375" cy="0"/>
        </a:xfrm>
        <a:prstGeom prst="rect">
          <a:avLst/>
        </a:prstGeom>
        <a:gradFill rotWithShape="1">
          <a:gsLst>
            <a:gs pos="100000">
              <a:srgbClr val="B2D1E1">
                <a:tint val="66000"/>
                <a:satMod val="160000"/>
                <a:alpha val="40000"/>
              </a:srgbClr>
            </a:gs>
            <a:gs pos="50000">
              <a:srgbClr val="B2D1E1">
                <a:tint val="44500"/>
                <a:satMod val="160000"/>
              </a:srgbClr>
            </a:gs>
            <a:gs pos="0">
              <a:schemeClr val="bg1"/>
            </a:gs>
          </a:gsLst>
          <a:lin ang="10800000" scaled="1"/>
        </a:gra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NZ" sz="1100"/>
        </a:p>
      </xdr:txBody>
    </xdr:sp>
    <xdr:clientData/>
  </xdr:twoCellAnchor>
  <xdr:twoCellAnchor editAs="oneCell">
    <xdr:from>
      <xdr:col>0</xdr:col>
      <xdr:colOff>38100</xdr:colOff>
      <xdr:row>0</xdr:row>
      <xdr:rowOff>47625</xdr:rowOff>
    </xdr:from>
    <xdr:to>
      <xdr:col>0</xdr:col>
      <xdr:colOff>762000</xdr:colOff>
      <xdr:row>1</xdr:row>
      <xdr:rowOff>152400</xdr:rowOff>
    </xdr:to>
    <xdr:pic>
      <xdr:nvPicPr>
        <xdr:cNvPr id="10" name="Picture 9"/>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8100" y="47625"/>
          <a:ext cx="723900" cy="2952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238125</xdr:rowOff>
    </xdr:from>
    <xdr:to>
      <xdr:col>7</xdr:col>
      <xdr:colOff>0</xdr:colOff>
      <xdr:row>0</xdr:row>
      <xdr:rowOff>400050</xdr:rowOff>
    </xdr:to>
    <xdr:sp macro="" textlink="">
      <xdr:nvSpPr>
        <xdr:cNvPr id="7" name="Rectangle 6"/>
        <xdr:cNvSpPr/>
      </xdr:nvSpPr>
      <xdr:spPr>
        <a:xfrm>
          <a:off x="0" y="238125"/>
          <a:ext cx="10020300" cy="161925"/>
        </a:xfrm>
        <a:prstGeom prst="rect">
          <a:avLst/>
        </a:prstGeom>
        <a:gradFill rotWithShape="1">
          <a:gsLst>
            <a:gs pos="0">
              <a:srgbClr val="B2D1E1">
                <a:tint val="66000"/>
                <a:satMod val="160000"/>
              </a:srgbClr>
            </a:gs>
            <a:gs pos="50000">
              <a:srgbClr val="B2D1E1">
                <a:tint val="44500"/>
                <a:satMod val="160000"/>
              </a:srgbClr>
            </a:gs>
            <a:gs pos="100000">
              <a:srgbClr val="B2D1E1">
                <a:tint val="23500"/>
                <a:satMod val="160000"/>
              </a:srgbClr>
            </a:gs>
          </a:gsLst>
          <a:lin ang="10800000" scaled="1"/>
        </a:gra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NZ" sz="1100"/>
        </a:p>
      </xdr:txBody>
    </xdr:sp>
    <xdr:clientData/>
  </xdr:twoCellAnchor>
  <xdr:twoCellAnchor>
    <xdr:from>
      <xdr:col>0</xdr:col>
      <xdr:colOff>0</xdr:colOff>
      <xdr:row>0</xdr:row>
      <xdr:rowOff>123825</xdr:rowOff>
    </xdr:from>
    <xdr:to>
      <xdr:col>7</xdr:col>
      <xdr:colOff>0</xdr:colOff>
      <xdr:row>0</xdr:row>
      <xdr:rowOff>285750</xdr:rowOff>
    </xdr:to>
    <xdr:sp macro="" textlink="">
      <xdr:nvSpPr>
        <xdr:cNvPr id="8" name="Rectangle 7"/>
        <xdr:cNvSpPr/>
      </xdr:nvSpPr>
      <xdr:spPr>
        <a:xfrm>
          <a:off x="0" y="123825"/>
          <a:ext cx="10020300" cy="161925"/>
        </a:xfrm>
        <a:prstGeom prst="rect">
          <a:avLst/>
        </a:prstGeom>
        <a:gradFill rotWithShape="1">
          <a:gsLst>
            <a:gs pos="0">
              <a:srgbClr val="91C1D6">
                <a:tint val="66000"/>
                <a:satMod val="160000"/>
              </a:srgbClr>
            </a:gs>
            <a:gs pos="50000">
              <a:srgbClr val="91C1D6">
                <a:tint val="44500"/>
                <a:satMod val="160000"/>
              </a:srgbClr>
            </a:gs>
            <a:gs pos="100000">
              <a:srgbClr val="91C1D6">
                <a:tint val="23500"/>
                <a:satMod val="160000"/>
              </a:srgbClr>
            </a:gs>
          </a:gsLst>
          <a:lin ang="10800000" scaled="1"/>
        </a:gra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NZ" sz="1100"/>
        </a:p>
      </xdr:txBody>
    </xdr:sp>
    <xdr:clientData/>
  </xdr:twoCellAnchor>
  <xdr:twoCellAnchor>
    <xdr:from>
      <xdr:col>0</xdr:col>
      <xdr:colOff>0</xdr:colOff>
      <xdr:row>0</xdr:row>
      <xdr:rowOff>9525</xdr:rowOff>
    </xdr:from>
    <xdr:to>
      <xdr:col>7</xdr:col>
      <xdr:colOff>0</xdr:colOff>
      <xdr:row>0</xdr:row>
      <xdr:rowOff>171450</xdr:rowOff>
    </xdr:to>
    <xdr:sp macro="" textlink="">
      <xdr:nvSpPr>
        <xdr:cNvPr id="9" name="Rectangle 8"/>
        <xdr:cNvSpPr/>
      </xdr:nvSpPr>
      <xdr:spPr>
        <a:xfrm>
          <a:off x="0" y="9525"/>
          <a:ext cx="10020300" cy="161925"/>
        </a:xfrm>
        <a:prstGeom prst="rect">
          <a:avLst/>
        </a:prstGeom>
        <a:gradFill rotWithShape="1">
          <a:gsLst>
            <a:gs pos="0">
              <a:srgbClr val="4FA7BE">
                <a:tint val="66000"/>
                <a:satMod val="160000"/>
              </a:srgbClr>
            </a:gs>
            <a:gs pos="50000">
              <a:srgbClr val="4FA7BE">
                <a:tint val="44500"/>
                <a:satMod val="160000"/>
              </a:srgbClr>
            </a:gs>
            <a:gs pos="100000">
              <a:srgbClr val="4FA7BE">
                <a:tint val="23500"/>
                <a:satMod val="160000"/>
              </a:srgbClr>
            </a:gs>
          </a:gsLst>
          <a:lin ang="10800000" scaled="1"/>
        </a:gra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NZ" sz="1100"/>
        </a:p>
      </xdr:txBody>
    </xdr:sp>
    <xdr:clientData/>
  </xdr:twoCellAnchor>
  <xdr:twoCellAnchor editAs="oneCell">
    <xdr:from>
      <xdr:col>0</xdr:col>
      <xdr:colOff>38100</xdr:colOff>
      <xdr:row>0</xdr:row>
      <xdr:rowOff>47625</xdr:rowOff>
    </xdr:from>
    <xdr:to>
      <xdr:col>0</xdr:col>
      <xdr:colOff>1304925</xdr:colOff>
      <xdr:row>0</xdr:row>
      <xdr:rowOff>571500</xdr:rowOff>
    </xdr:to>
    <xdr:pic>
      <xdr:nvPicPr>
        <xdr:cNvPr id="10" name="Picture 9"/>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8100" y="47625"/>
          <a:ext cx="1266825" cy="5238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9BAF4-1F52-4B0D-9C2C-45F2301230C8}">
  <sheetPr>
    <tabColor rgb="FFC7E5CF"/>
    <pageSetUpPr fitToPage="1"/>
  </sheetPr>
  <dimension ref="A1:K40"/>
  <sheetViews>
    <sheetView showGridLines="0" tabSelected="1" workbookViewId="0" topLeftCell="A4">
      <selection activeCell="B32" sqref="B32"/>
    </sheetView>
  </sheetViews>
  <sheetFormatPr defaultColWidth="9.140625" defaultRowHeight="15"/>
  <cols>
    <col min="1" max="1" width="39.00390625" style="0" customWidth="1"/>
    <col min="2" max="2" width="20.7109375" style="1" customWidth="1"/>
    <col min="3" max="7" width="20.7109375" style="0" customWidth="1"/>
  </cols>
  <sheetData>
    <row r="1" spans="1:9" ht="15" customHeight="1">
      <c r="A1" s="40"/>
      <c r="B1" s="41"/>
      <c r="C1" s="42"/>
      <c r="D1" s="43"/>
      <c r="E1" s="44"/>
      <c r="F1" s="45"/>
      <c r="G1" s="44"/>
      <c r="H1" s="1"/>
      <c r="I1" s="1"/>
    </row>
    <row r="2" spans="1:9" ht="15" customHeight="1">
      <c r="A2" s="46"/>
      <c r="B2" s="58" t="s">
        <v>78</v>
      </c>
      <c r="C2" s="47"/>
      <c r="D2" s="48"/>
      <c r="E2" s="49"/>
      <c r="F2" s="50"/>
      <c r="G2" s="49"/>
      <c r="H2" s="36"/>
      <c r="I2" s="36"/>
    </row>
    <row r="3" spans="1:3" s="1" customFormat="1" ht="15" customHeight="1">
      <c r="A3" s="37"/>
      <c r="B3" s="38"/>
      <c r="C3" s="39"/>
    </row>
    <row r="4" spans="1:6" ht="19.5" customHeight="1">
      <c r="A4" s="51" t="s">
        <v>63</v>
      </c>
      <c r="B4" s="52"/>
      <c r="C4" s="28"/>
      <c r="D4" s="29"/>
      <c r="F4" s="33"/>
    </row>
    <row r="5" spans="1:11" ht="15" customHeight="1">
      <c r="A5" s="75" t="s">
        <v>46</v>
      </c>
      <c r="B5" s="77" t="s">
        <v>47</v>
      </c>
      <c r="E5" s="32"/>
      <c r="G5" s="34"/>
      <c r="H5" s="34"/>
      <c r="I5" s="34"/>
      <c r="J5" s="34"/>
      <c r="K5" s="34"/>
    </row>
    <row r="6" spans="1:3" ht="15" customHeight="1">
      <c r="A6" s="53" t="s">
        <v>44</v>
      </c>
      <c r="B6" s="71"/>
      <c r="C6" s="5"/>
    </row>
    <row r="7" spans="1:3" ht="15" customHeight="1">
      <c r="A7" s="53" t="s">
        <v>43</v>
      </c>
      <c r="B7" s="71"/>
      <c r="C7" s="5"/>
    </row>
    <row r="8" spans="1:3" ht="15" customHeight="1">
      <c r="A8" s="53" t="s">
        <v>42</v>
      </c>
      <c r="B8" s="71"/>
      <c r="C8" s="5"/>
    </row>
    <row r="9" spans="1:3" ht="15" customHeight="1">
      <c r="A9" s="53" t="s">
        <v>0</v>
      </c>
      <c r="B9" s="71">
        <v>5</v>
      </c>
      <c r="C9" s="5"/>
    </row>
    <row r="10" spans="1:3" ht="15" customHeight="1">
      <c r="A10" s="53" t="s">
        <v>49</v>
      </c>
      <c r="B10" s="71">
        <v>3</v>
      </c>
      <c r="C10" s="5"/>
    </row>
    <row r="11" spans="1:4" ht="15" customHeight="1">
      <c r="A11" s="53" t="s">
        <v>56</v>
      </c>
      <c r="B11" s="71">
        <v>1</v>
      </c>
      <c r="C11" s="6"/>
      <c r="D11" s="7"/>
    </row>
    <row r="12" spans="1:4" ht="15" customHeight="1">
      <c r="A12" s="76" t="s">
        <v>45</v>
      </c>
      <c r="B12" s="78">
        <v>0</v>
      </c>
      <c r="C12" s="5"/>
      <c r="D12" s="5"/>
    </row>
    <row r="13" spans="1:6" ht="15" customHeight="1">
      <c r="A13" s="106" t="s">
        <v>54</v>
      </c>
      <c r="B13" s="107" t="s">
        <v>84</v>
      </c>
      <c r="C13" s="107" t="s">
        <v>85</v>
      </c>
      <c r="D13" s="107" t="s">
        <v>86</v>
      </c>
      <c r="E13" s="107" t="s">
        <v>50</v>
      </c>
      <c r="F13" s="107" t="s">
        <v>51</v>
      </c>
    </row>
    <row r="14" spans="1:10" ht="15" customHeight="1">
      <c r="A14" s="54" t="s">
        <v>81</v>
      </c>
      <c r="B14" s="72">
        <v>3</v>
      </c>
      <c r="C14" s="70">
        <v>3</v>
      </c>
      <c r="D14" s="70">
        <v>3</v>
      </c>
      <c r="E14" s="71"/>
      <c r="F14" s="71"/>
      <c r="I14" s="1"/>
      <c r="J14" s="1"/>
    </row>
    <row r="15" spans="1:6" ht="15" customHeight="1">
      <c r="A15" s="54" t="s">
        <v>82</v>
      </c>
      <c r="B15" s="72">
        <v>1</v>
      </c>
      <c r="C15" s="70">
        <v>1</v>
      </c>
      <c r="D15" s="71">
        <v>1</v>
      </c>
      <c r="E15" s="71"/>
      <c r="F15" s="71"/>
    </row>
    <row r="16" spans="1:6" ht="15" customHeight="1">
      <c r="A16" s="55" t="s">
        <v>1</v>
      </c>
      <c r="B16" s="71">
        <v>0.1</v>
      </c>
      <c r="C16" s="71">
        <v>1</v>
      </c>
      <c r="D16" s="71">
        <v>0.1</v>
      </c>
      <c r="E16" s="71"/>
      <c r="F16" s="71"/>
    </row>
    <row r="17" spans="1:10" ht="15" customHeight="1">
      <c r="A17" s="55" t="s">
        <v>2</v>
      </c>
      <c r="B17" s="71">
        <v>2</v>
      </c>
      <c r="C17" s="71">
        <v>3</v>
      </c>
      <c r="D17" s="71">
        <v>1</v>
      </c>
      <c r="E17" s="71"/>
      <c r="F17" s="71"/>
      <c r="J17" s="1"/>
    </row>
    <row r="18" spans="1:6" ht="15" customHeight="1">
      <c r="A18" s="54" t="s">
        <v>3</v>
      </c>
      <c r="B18" s="72">
        <v>0.001</v>
      </c>
      <c r="C18" s="72">
        <v>0.001</v>
      </c>
      <c r="D18" s="72">
        <v>0.001</v>
      </c>
      <c r="E18" s="72"/>
      <c r="F18" s="72"/>
    </row>
    <row r="19" spans="1:6" s="1" customFormat="1" ht="15" customHeight="1">
      <c r="A19" s="104" t="s">
        <v>57</v>
      </c>
      <c r="B19" s="105" t="s">
        <v>58</v>
      </c>
      <c r="C19" s="105" t="s">
        <v>59</v>
      </c>
      <c r="D19" s="105" t="s">
        <v>60</v>
      </c>
      <c r="E19" s="105" t="s">
        <v>61</v>
      </c>
      <c r="F19" s="105" t="s">
        <v>62</v>
      </c>
    </row>
    <row r="20" spans="1:6" ht="15" customHeight="1">
      <c r="A20" s="56" t="s">
        <v>52</v>
      </c>
      <c r="B20" s="79">
        <v>0.03</v>
      </c>
      <c r="C20" s="73"/>
      <c r="D20" s="73"/>
      <c r="E20" s="73"/>
      <c r="F20" s="73"/>
    </row>
    <row r="21" spans="1:6" ht="15" customHeight="1">
      <c r="A21" s="56" t="s">
        <v>7</v>
      </c>
      <c r="B21" s="71">
        <v>10</v>
      </c>
      <c r="C21" s="71"/>
      <c r="D21" s="71"/>
      <c r="E21" s="71"/>
      <c r="F21" s="71"/>
    </row>
    <row r="22" spans="1:6" ht="15" customHeight="1">
      <c r="A22" s="57" t="s">
        <v>83</v>
      </c>
      <c r="B22" s="74">
        <v>2</v>
      </c>
      <c r="C22" s="74"/>
      <c r="D22" s="74"/>
      <c r="E22" s="74"/>
      <c r="F22" s="74"/>
    </row>
    <row r="23" spans="1:8" ht="15" customHeight="1">
      <c r="A23" s="56" t="s">
        <v>8</v>
      </c>
      <c r="B23" s="71">
        <v>2.1</v>
      </c>
      <c r="C23" s="71"/>
      <c r="D23" s="71"/>
      <c r="E23" s="71"/>
      <c r="F23" s="71"/>
      <c r="H23" s="1"/>
    </row>
    <row r="24" spans="1:8" ht="15" customHeight="1">
      <c r="A24" s="56" t="s">
        <v>9</v>
      </c>
      <c r="B24" s="71">
        <v>0.001</v>
      </c>
      <c r="C24" s="71"/>
      <c r="D24" s="71"/>
      <c r="E24" s="71"/>
      <c r="F24" s="71"/>
      <c r="H24" s="1"/>
    </row>
    <row r="25" spans="1:8" ht="15" customHeight="1">
      <c r="A25" s="56" t="s">
        <v>10</v>
      </c>
      <c r="B25" s="71">
        <v>3</v>
      </c>
      <c r="C25" s="71"/>
      <c r="D25" s="71"/>
      <c r="E25" s="71"/>
      <c r="F25" s="71"/>
      <c r="H25" s="1"/>
    </row>
    <row r="26" spans="1:6" s="1" customFormat="1" ht="15" customHeight="1">
      <c r="A26" s="2"/>
      <c r="B26" s="2"/>
      <c r="C26" s="2"/>
      <c r="D26" s="2"/>
      <c r="E26" s="2"/>
      <c r="F26" s="2"/>
    </row>
    <row r="27" spans="1:8" ht="19.5" customHeight="1">
      <c r="A27" s="51" t="s">
        <v>64</v>
      </c>
      <c r="B27" s="51"/>
      <c r="C27" s="66"/>
      <c r="D27" s="66"/>
      <c r="E27" s="66"/>
      <c r="F27" s="66"/>
      <c r="G27" s="66"/>
      <c r="H27" s="1"/>
    </row>
    <row r="28" spans="1:8" ht="15" customHeight="1">
      <c r="A28" s="109"/>
      <c r="B28" s="110" t="s">
        <v>67</v>
      </c>
      <c r="C28" s="111" t="str">
        <f>B13</f>
        <v>Totara Tree</v>
      </c>
      <c r="D28" s="112" t="str">
        <f>C13</f>
        <v>Berm reveg</v>
      </c>
      <c r="E28" s="112" t="str">
        <f>D13</f>
        <v>Pine</v>
      </c>
      <c r="F28" s="112" t="str">
        <f>E13</f>
        <v>Habitat/Site 4</v>
      </c>
      <c r="G28" s="112" t="str">
        <f>F13</f>
        <v>Habitat/Site 5</v>
      </c>
      <c r="H28" s="1"/>
    </row>
    <row r="29" spans="1:7" ht="15" customHeight="1">
      <c r="A29" s="108" t="s">
        <v>65</v>
      </c>
      <c r="B29" s="80">
        <f>IF(OR(Cii_1=4,Cii_2=4,Cii_3=4,Cii_4=4,Cii_5=4),"Very high uncertainty",IF(ImpactBV_Ai&lt;&gt;0,ImpactBV_Ai,""))</f>
        <v>-0.7620228</v>
      </c>
      <c r="C29" s="68">
        <f>IF(Cii_1=4,"Very high uncertainty",IF(ImpactAiAdjustedChange1&lt;&gt;"",ImpactAiAdjustedChange1*a_1,""))</f>
        <v>-0.046176900000000014</v>
      </c>
      <c r="D29" s="59">
        <f>IF(Cii_2=4,"Very high uncertainty",IF(ImpactAiAdjustedChange2&lt;&gt;"",ImpactAiAdjustedChange2*a_2,""))</f>
        <v>-0.6927690000000001</v>
      </c>
      <c r="E29" s="59">
        <f>IF(Cii_3=4,"Very high uncertainty",IF(ImpactAiAdjustedChange3&lt;&gt;"",ImpactAiAdjustedChange3*a_3,""))</f>
        <v>-0.023076900000000004</v>
      </c>
      <c r="F29" s="59" t="str">
        <f>IF(Cii_4=4,"Very high uncertainty",IF(ImpactAiAdjustedChange4&lt;&gt;"",ImpactAiAdjustedChange4*a_4,""))</f>
        <v/>
      </c>
      <c r="G29" s="59" t="str">
        <f>IF(Cii_5=4,"Very high uncertainty",IF(ImpactAiAdjustedChange5&lt;&gt;"",ImpactAiAdjustedChange5*a_5,""))</f>
        <v/>
      </c>
    </row>
    <row r="30" spans="1:7" ht="15" customHeight="1">
      <c r="A30" s="63"/>
      <c r="B30" s="62" t="s">
        <v>68</v>
      </c>
      <c r="C30" s="61" t="str">
        <f>IF(Comp1&lt;&gt;0,Comp1,"")</f>
        <v>Action 1</v>
      </c>
      <c r="D30" s="69" t="str">
        <f>IF(Comp2&lt;&gt;0,Comp2,"")</f>
        <v>Action 2</v>
      </c>
      <c r="E30" s="69" t="str">
        <f>IF(Comp3&lt;&gt;0,Comp3,"")</f>
        <v>Action 3</v>
      </c>
      <c r="F30" s="69" t="str">
        <f>IF(Comp4&lt;&gt;0,Comp4,"")</f>
        <v>Action 4</v>
      </c>
      <c r="G30" s="69" t="str">
        <f>IF(Comp5&lt;&gt;0,Comp5,"")</f>
        <v>Action 5</v>
      </c>
    </row>
    <row r="31" spans="1:7" ht="15" customHeight="1">
      <c r="A31" s="64" t="s">
        <v>66</v>
      </c>
      <c r="B31" s="81">
        <f>IF(CompBV_Ai&lt;&gt;0,CompBV_Ai,"")</f>
        <v>0.7732277959936341</v>
      </c>
      <c r="C31" s="60">
        <f>IF(CompBV_Ai1&lt;&gt;"",CompBV_Ai1,"")</f>
        <v>0.7732277959936341</v>
      </c>
      <c r="D31" s="60" t="str">
        <f>IF(CompBV_Ai2&lt;&gt;"",CompBV_Ai2,"")</f>
        <v/>
      </c>
      <c r="E31" s="60" t="str">
        <f>IF(CompBV_Ai3&lt;&gt;"",CompBV_Ai3,"")</f>
        <v/>
      </c>
      <c r="F31" s="60" t="str">
        <f>IF(CompBV_Ai4&lt;&gt;"",CompBV_Ai4,"")</f>
        <v/>
      </c>
      <c r="G31" s="60" t="str">
        <f>IF(CompBV_Ai5&lt;&gt;"",CompBV_Ai5,"")</f>
        <v/>
      </c>
    </row>
    <row r="32" spans="1:7" ht="15" customHeight="1">
      <c r="A32" s="65" t="s">
        <v>55</v>
      </c>
      <c r="B32" s="67">
        <f>IF(AND(CompBV_Ai&lt;&gt;0,B29&lt;0),((B31-ABS(B29))/ABS(B29)),"")</f>
        <v>0.01470427918119263</v>
      </c>
      <c r="C32" s="35"/>
      <c r="D32" s="35"/>
      <c r="E32" s="35"/>
      <c r="F32" s="35"/>
      <c r="G32" s="35"/>
    </row>
    <row r="33" spans="1:6" ht="15">
      <c r="A33" s="36"/>
      <c r="C33" s="1"/>
      <c r="D33" s="1"/>
      <c r="E33" s="1"/>
      <c r="F33" s="1"/>
    </row>
    <row r="34" spans="1:7" ht="15">
      <c r="A34" s="113" t="s">
        <v>80</v>
      </c>
      <c r="B34" s="114"/>
      <c r="C34" s="114"/>
      <c r="D34" s="114"/>
      <c r="E34" s="114"/>
      <c r="F34" s="114"/>
      <c r="G34" s="114"/>
    </row>
    <row r="35" spans="1:7" ht="15">
      <c r="A35" s="115" t="s">
        <v>79</v>
      </c>
      <c r="B35" s="116"/>
      <c r="C35" s="116"/>
      <c r="D35" s="116"/>
      <c r="E35" s="116"/>
      <c r="F35" s="116"/>
      <c r="G35" s="116"/>
    </row>
    <row r="36" ht="15">
      <c r="A36" s="1"/>
    </row>
    <row r="40" ht="15">
      <c r="A40" s="1"/>
    </row>
  </sheetData>
  <sheetProtection sheet="1" objects="1" scenarios="1"/>
  <mergeCells count="2">
    <mergeCell ref="A34:G34"/>
    <mergeCell ref="A35:G35"/>
  </mergeCells>
  <conditionalFormatting sqref="B6:B12 B20:F25">
    <cfRule type="cellIs" priority="214" dxfId="83" operator="equal">
      <formula>0</formula>
    </cfRule>
  </conditionalFormatting>
  <conditionalFormatting sqref="B6:B12 B14:F18 B20:F25">
    <cfRule type="cellIs" priority="173" dxfId="92" operator="notEqual">
      <formula>0</formula>
    </cfRule>
  </conditionalFormatting>
  <conditionalFormatting sqref="C14:C18 C20:C25">
    <cfRule type="expression" priority="221" dxfId="83">
      <formula>$B$10&gt;1</formula>
    </cfRule>
  </conditionalFormatting>
  <conditionalFormatting sqref="D14:D18 D20:D25">
    <cfRule type="expression" priority="220" dxfId="83">
      <formula>$B$10&gt;2</formula>
    </cfRule>
  </conditionalFormatting>
  <conditionalFormatting sqref="E14:E18 E20:E25">
    <cfRule type="expression" priority="219" dxfId="83">
      <formula>$B$10&gt;3</formula>
    </cfRule>
  </conditionalFormatting>
  <conditionalFormatting sqref="F14:F18 F20:F25">
    <cfRule type="expression" priority="215" dxfId="83">
      <formula>$B$10&gt;4</formula>
    </cfRule>
  </conditionalFormatting>
  <conditionalFormatting sqref="B14:B18 B11:B12">
    <cfRule type="cellIs" priority="166" dxfId="83" operator="equal">
      <formula>0</formula>
    </cfRule>
  </conditionalFormatting>
  <conditionalFormatting sqref="C14:C18">
    <cfRule type="cellIs" priority="155" dxfId="83" operator="equal">
      <formula>0</formula>
    </cfRule>
  </conditionalFormatting>
  <conditionalFormatting sqref="D16:D18">
    <cfRule type="cellIs" priority="169" dxfId="83" operator="equal">
      <formula>0</formula>
    </cfRule>
  </conditionalFormatting>
  <conditionalFormatting sqref="E16:E18">
    <cfRule type="cellIs" priority="168" dxfId="83" operator="equal">
      <formula>0</formula>
    </cfRule>
  </conditionalFormatting>
  <conditionalFormatting sqref="F16:F18">
    <cfRule type="cellIs" priority="165" dxfId="83" operator="equal">
      <formula>0</formula>
    </cfRule>
  </conditionalFormatting>
  <conditionalFormatting sqref="F14:F18">
    <cfRule type="expression" priority="45" dxfId="60">
      <formula>IF(AND($B$10&lt;5,$F14&gt;0),TRUE,"")</formula>
    </cfRule>
  </conditionalFormatting>
  <conditionalFormatting sqref="F13">
    <cfRule type="expression" priority="158" dxfId="70">
      <formula>$B$10&lt;5</formula>
    </cfRule>
  </conditionalFormatting>
  <conditionalFormatting sqref="E13:E17">
    <cfRule type="expression" priority="157" dxfId="76">
      <formula>HabNo&lt;4</formula>
    </cfRule>
  </conditionalFormatting>
  <conditionalFormatting sqref="D13:D17">
    <cfRule type="expression" priority="156" dxfId="70">
      <formula>HabNo&lt;3</formula>
    </cfRule>
  </conditionalFormatting>
  <conditionalFormatting sqref="C13:C17">
    <cfRule type="expression" priority="42" dxfId="70">
      <formula>HabNo&lt;2</formula>
    </cfRule>
  </conditionalFormatting>
  <conditionalFormatting sqref="E20:E25">
    <cfRule type="expression" priority="71" dxfId="60">
      <formula>IF(AND($B$11&lt;4,$E20&lt;&gt;0),TRUE,"")</formula>
    </cfRule>
    <cfRule type="expression" priority="153" dxfId="76">
      <formula>CompNo&lt;4</formula>
    </cfRule>
  </conditionalFormatting>
  <conditionalFormatting sqref="D20:D25">
    <cfRule type="expression" priority="72" dxfId="60">
      <formula>IF(AND($B$11&lt;3,$C20&lt;&gt;0),TRUE,"")</formula>
    </cfRule>
    <cfRule type="expression" priority="152" dxfId="70">
      <formula>CompNo&lt;3</formula>
    </cfRule>
  </conditionalFormatting>
  <conditionalFormatting sqref="C20:C25">
    <cfRule type="expression" priority="73" dxfId="60">
      <formula>IF(AND($B$11&lt;2,$C20&lt;&gt;0),TRUE,"")</formula>
    </cfRule>
    <cfRule type="expression" priority="151" dxfId="70">
      <formula>CompNo&lt;2</formula>
    </cfRule>
  </conditionalFormatting>
  <conditionalFormatting sqref="F20:F25">
    <cfRule type="expression" priority="70" dxfId="60">
      <formula>IF(AND($B$11&lt;5,$F20&lt;&gt;0),TRUE,"")</formula>
    </cfRule>
    <cfRule type="expression" priority="150" dxfId="70">
      <formula>CompNo&lt;5</formula>
    </cfRule>
  </conditionalFormatting>
  <conditionalFormatting sqref="B32">
    <cfRule type="cellIs" priority="85" dxfId="69" operator="greaterThanOrEqual">
      <formula>NetGainTarget</formula>
    </cfRule>
    <cfRule type="cellIs" priority="86" dxfId="68" operator="lessThanOrEqual">
      <formula>0</formula>
    </cfRule>
    <cfRule type="cellIs" priority="88" dxfId="67" operator="lessThan">
      <formula>NetGainTarget</formula>
    </cfRule>
  </conditionalFormatting>
  <conditionalFormatting sqref="C14:C18">
    <cfRule type="expression" priority="25" dxfId="60">
      <formula>IF(AND($B$10&lt;2,$C14&gt;0),TRUE,"")</formula>
    </cfRule>
  </conditionalFormatting>
  <conditionalFormatting sqref="D14:D18">
    <cfRule type="expression" priority="43" dxfId="65">
      <formula>IF(AND($B$10&lt;3,$D14&gt;0),TRUE,"")</formula>
    </cfRule>
  </conditionalFormatting>
  <conditionalFormatting sqref="E14:E18">
    <cfRule type="expression" priority="44" dxfId="60">
      <formula>IF(AND($B$10&lt;4,$E14&gt;0),TRUE,"")</formula>
    </cfRule>
  </conditionalFormatting>
  <conditionalFormatting sqref="C20">
    <cfRule type="expression" priority="69" dxfId="60">
      <formula>IF(AND($B$11&lt;2,$C20&lt;&gt;3),TRUE,"")</formula>
    </cfRule>
  </conditionalFormatting>
  <conditionalFormatting sqref="D20">
    <cfRule type="expression" priority="68" dxfId="60">
      <formula>IF(AND($B$11&lt;3,$D20&lt;&gt;3),TRUE,"")</formula>
    </cfRule>
  </conditionalFormatting>
  <conditionalFormatting sqref="E20">
    <cfRule type="expression" priority="67" dxfId="60">
      <formula>IF(AND($B$11&lt;4,$E20&lt;&gt;3),TRUE,"")</formula>
    </cfRule>
  </conditionalFormatting>
  <conditionalFormatting sqref="F20">
    <cfRule type="expression" priority="66" dxfId="60">
      <formula>IF(AND($B$11&lt;5,$F20&lt;&gt;3),TRUE,"")</formula>
    </cfRule>
  </conditionalFormatting>
  <conditionalFormatting sqref="F13:F17">
    <cfRule type="expression" priority="159" dxfId="59">
      <formula>HabNo&lt;5</formula>
    </cfRule>
  </conditionalFormatting>
  <conditionalFormatting sqref="F18">
    <cfRule type="expression" priority="47" dxfId="55">
      <formula>HabNo&lt;5</formula>
    </cfRule>
  </conditionalFormatting>
  <conditionalFormatting sqref="E18">
    <cfRule type="expression" priority="46" dxfId="55">
      <formula>HabNo&lt;4</formula>
    </cfRule>
  </conditionalFormatting>
  <conditionalFormatting sqref="D18">
    <cfRule type="expression" priority="76" dxfId="55">
      <formula>HabNo&lt;3</formula>
    </cfRule>
  </conditionalFormatting>
  <conditionalFormatting sqref="C18">
    <cfRule type="expression" priority="77" dxfId="55">
      <formula>HabNo&lt;2</formula>
    </cfRule>
  </conditionalFormatting>
  <conditionalFormatting sqref="K5 G28:G29">
    <cfRule type="expression" priority="41" dxfId="45">
      <formula>HabNo&lt;5</formula>
    </cfRule>
  </conditionalFormatting>
  <conditionalFormatting sqref="G30:G32">
    <cfRule type="expression" priority="40" dxfId="39">
      <formula>CompNo&lt;5</formula>
    </cfRule>
  </conditionalFormatting>
  <conditionalFormatting sqref="F19 G30">
    <cfRule type="expression" priority="39" dxfId="43">
      <formula>AND(HabNo&lt;5,CompNo&lt;5)</formula>
    </cfRule>
  </conditionalFormatting>
  <conditionalFormatting sqref="J5 F28:F29">
    <cfRule type="expression" priority="38" dxfId="45">
      <formula>HabNo&lt;4</formula>
    </cfRule>
  </conditionalFormatting>
  <conditionalFormatting sqref="F30:F32">
    <cfRule type="expression" priority="37" dxfId="39">
      <formula>CompNo&lt;4</formula>
    </cfRule>
  </conditionalFormatting>
  <conditionalFormatting sqref="E19 F30">
    <cfRule type="expression" priority="36" dxfId="43">
      <formula>AND(HabNo&lt;4,CompNo&lt;4)</formula>
    </cfRule>
  </conditionalFormatting>
  <conditionalFormatting sqref="I5 E28:E29">
    <cfRule type="expression" priority="35" dxfId="45">
      <formula>HabNo&lt;3</formula>
    </cfRule>
  </conditionalFormatting>
  <conditionalFormatting sqref="E30:E32">
    <cfRule type="expression" priority="34" dxfId="39">
      <formula>CompNo&lt;3</formula>
    </cfRule>
  </conditionalFormatting>
  <conditionalFormatting sqref="D19 E30">
    <cfRule type="expression" priority="33" dxfId="43">
      <formula>AND(HabNo&lt;3,CompNo&lt;3)</formula>
    </cfRule>
  </conditionalFormatting>
  <conditionalFormatting sqref="D28:D29 H5">
    <cfRule type="expression" priority="32" dxfId="45">
      <formula>HabNo&lt;2</formula>
    </cfRule>
  </conditionalFormatting>
  <conditionalFormatting sqref="D30:D32">
    <cfRule type="expression" priority="31" dxfId="39">
      <formula>CompNo&lt;2</formula>
    </cfRule>
  </conditionalFormatting>
  <conditionalFormatting sqref="C19 D30">
    <cfRule type="expression" priority="30" dxfId="43">
      <formula>AND(HabNo&lt;2,CompNo&lt;2)</formula>
    </cfRule>
  </conditionalFormatting>
  <conditionalFormatting sqref="C19">
    <cfRule type="expression" priority="29" dxfId="39">
      <formula>CompNo&lt;2</formula>
    </cfRule>
  </conditionalFormatting>
  <conditionalFormatting sqref="D19">
    <cfRule type="expression" priority="28" dxfId="40">
      <formula>CompNo&lt;3</formula>
    </cfRule>
  </conditionalFormatting>
  <conditionalFormatting sqref="E19">
    <cfRule type="expression" priority="27" dxfId="40">
      <formula>CompNo&lt;4</formula>
    </cfRule>
  </conditionalFormatting>
  <conditionalFormatting sqref="F19">
    <cfRule type="expression" priority="26" dxfId="39">
      <formula>CompNo&lt;5</formula>
    </cfRule>
  </conditionalFormatting>
  <conditionalFormatting sqref="G28">
    <cfRule type="expression" priority="24" dxfId="18">
      <formula>AND(CompNo&gt;4,HabNo&lt;5)</formula>
    </cfRule>
  </conditionalFormatting>
  <conditionalFormatting sqref="G29">
    <cfRule type="expression" priority="23" dxfId="25">
      <formula>AND(CompNo&gt;4,HabNo&lt;5)</formula>
    </cfRule>
  </conditionalFormatting>
  <conditionalFormatting sqref="G30">
    <cfRule type="expression" priority="22" dxfId="18">
      <formula>AND(HabNo&gt;4,CompNo&lt;5)</formula>
    </cfRule>
  </conditionalFormatting>
  <conditionalFormatting sqref="G31">
    <cfRule type="expression" priority="21" dxfId="25">
      <formula>AND(HabNo&gt;4,CompNo&lt;5)</formula>
    </cfRule>
  </conditionalFormatting>
  <conditionalFormatting sqref="G27">
    <cfRule type="expression" priority="19" dxfId="16">
      <formula>OR(CompNo&gt;4,HabNo&gt;4)</formula>
    </cfRule>
    <cfRule type="expression" priority="20" dxfId="4">
      <formula>AND(HabNo&lt;5,CompNo&lt;5)</formula>
    </cfRule>
  </conditionalFormatting>
  <conditionalFormatting sqref="F28">
    <cfRule type="expression" priority="18" dxfId="18">
      <formula>AND(CompNo&gt;3,HabNo&lt;4)</formula>
    </cfRule>
  </conditionalFormatting>
  <conditionalFormatting sqref="F29">
    <cfRule type="expression" priority="17" dxfId="25">
      <formula>AND(CompNo&gt;3,HabNo&lt;4)</formula>
    </cfRule>
  </conditionalFormatting>
  <conditionalFormatting sqref="F30">
    <cfRule type="expression" priority="16" dxfId="18">
      <formula>AND(HabNo&gt;3,CompNo&lt;4)</formula>
    </cfRule>
  </conditionalFormatting>
  <conditionalFormatting sqref="F31">
    <cfRule type="expression" priority="15" dxfId="25">
      <formula>AND(HabNo&gt;3,CompNo&lt;4)</formula>
    </cfRule>
  </conditionalFormatting>
  <conditionalFormatting sqref="F27">
    <cfRule type="expression" priority="13" dxfId="16">
      <formula>OR(CompNo&gt;3,HabNo&gt;3)</formula>
    </cfRule>
    <cfRule type="expression" priority="14" dxfId="4">
      <formula>AND(HabNo&lt;4,CompNo&lt;4)</formula>
    </cfRule>
  </conditionalFormatting>
  <conditionalFormatting sqref="E28">
    <cfRule type="expression" priority="12" dxfId="18">
      <formula>AND(CompNo&gt;2,HabNo&lt;3)</formula>
    </cfRule>
  </conditionalFormatting>
  <conditionalFormatting sqref="E29">
    <cfRule type="expression" priority="11" dxfId="25">
      <formula>AND(CompNo&gt;2,HabNo&lt;3)</formula>
    </cfRule>
  </conditionalFormatting>
  <conditionalFormatting sqref="E30">
    <cfRule type="expression" priority="10" dxfId="18">
      <formula>AND(HabNo&gt;2,CompNo&lt;3)</formula>
    </cfRule>
  </conditionalFormatting>
  <conditionalFormatting sqref="E31">
    <cfRule type="expression" priority="9" dxfId="17">
      <formula>AND(HabNo&gt;2,CompNo&lt;3)</formula>
    </cfRule>
  </conditionalFormatting>
  <conditionalFormatting sqref="E27">
    <cfRule type="expression" priority="7" dxfId="16">
      <formula>OR(CompNo&gt;2,HabNo&gt;2)</formula>
    </cfRule>
    <cfRule type="expression" priority="8" dxfId="4">
      <formula>AND(HabNo&lt;3,CompNo&lt;3)</formula>
    </cfRule>
  </conditionalFormatting>
  <conditionalFormatting sqref="D28">
    <cfRule type="expression" priority="6" dxfId="18">
      <formula>AND(CompNo&gt;1,HabNo&lt;2)</formula>
    </cfRule>
  </conditionalFormatting>
  <conditionalFormatting sqref="D29">
    <cfRule type="expression" priority="5" dxfId="17">
      <formula>AND(CompNo&gt;1,HabNo&lt;2)</formula>
    </cfRule>
  </conditionalFormatting>
  <conditionalFormatting sqref="D30">
    <cfRule type="expression" priority="4" dxfId="18">
      <formula>AND(HabNo&gt;1,CompNo&lt;2)</formula>
    </cfRule>
  </conditionalFormatting>
  <conditionalFormatting sqref="D31">
    <cfRule type="expression" priority="3" dxfId="17">
      <formula>AND(HabNo&gt;1,CompNo&lt;2)</formula>
    </cfRule>
  </conditionalFormatting>
  <conditionalFormatting sqref="D27">
    <cfRule type="expression" priority="1" dxfId="16">
      <formula>OR(CompNo&gt;1,HabNo&gt;1)</formula>
    </cfRule>
    <cfRule type="expression" priority="2" dxfId="4">
      <formula>AND(HabNo&lt;2,CompNo&lt;2)</formula>
    </cfRule>
  </conditionalFormatting>
  <dataValidations count="13">
    <dataValidation type="list" allowBlank="1" showInputMessage="1" showErrorMessage="1" sqref="B10">
      <formula1>List_Habitat</formula1>
    </dataValidation>
    <dataValidation type="list" allowBlank="1" showInputMessage="1" showErrorMessage="1" sqref="B14:F14">
      <formula1>List_Ecological</formula1>
    </dataValidation>
    <dataValidation type="list" allowBlank="1" showInputMessage="1" showErrorMessage="1" sqref="B22:F22 B15:F15">
      <formula1>List_Uncertainty</formula1>
    </dataValidation>
    <dataValidation type="decimal" operator="greaterThanOrEqual" allowBlank="1" showInputMessage="1" showErrorMessage="1" errorTitle="Numerical field" error="Insert a miminum value of 0.001" sqref="B16:F16">
      <formula1>0.001</formula1>
    </dataValidation>
    <dataValidation type="decimal" allowBlank="1" showInputMessage="1" showErrorMessage="1" errorTitle="Number between 0-5" error="Insert a number between (and including) 0 and 5." sqref="C18:F18">
      <formula1>0</formula1>
      <formula2>5</formula2>
    </dataValidation>
    <dataValidation type="decimal" allowBlank="1" showInputMessage="1" showErrorMessage="1" errorTitle="Numerical field" error="Enter the percentage as e.g. 3 for 3%._x000a_Enter a number between (and including) 0 and 5." sqref="B20">
      <formula1>0</formula1>
      <formula2>0.05</formula2>
    </dataValidation>
    <dataValidation type="decimal" operator="greaterThanOrEqual" allowBlank="1" showInputMessage="1" showErrorMessage="1" errorTitle="Numerical field" error="Enter a positive number greater than 0.001 for years (e.g. 3 for 3 years, 3.5 for 3 and a half years)" sqref="B21:F21">
      <formula1>0.001</formula1>
    </dataValidation>
    <dataValidation type="decimal" operator="greaterThanOrEqual" allowBlank="1" showInputMessage="1" showErrorMessage="1" errorTitle="Numerical value" error="Enter a number greater than 0.001" sqref="B23:F23">
      <formula1>0.001</formula1>
    </dataValidation>
    <dataValidation type="list" allowBlank="1" showInputMessage="1" showErrorMessage="1" errorTitle="Whole number field" error="Enter a whole number between 1 and 5" sqref="B11">
      <formula1>List_Habitat</formula1>
    </dataValidation>
    <dataValidation type="decimal" allowBlank="1" showInputMessage="1" showErrorMessage="1" errorTitle="Number field" error="Enter a value between 0 and 100 e.g. 3 for 3%" sqref="B12">
      <formula1>0</formula1>
      <formula2>1</formula2>
    </dataValidation>
    <dataValidation type="decimal" allowBlank="1" showInputMessage="1" showErrorMessage="1" errorTitle="Number between 0.001-5" error="Insert a number between (and including) 0.001 and 5." sqref="B18 B24:F25 B17:F17">
      <formula1>0.001</formula1>
      <formula2>5</formula2>
    </dataValidation>
    <dataValidation allowBlank="1" showInputMessage="1" errorTitle="Numerical field" error="Enter the percentage as e.g. 3 for 3%._x000a_Enter a number between (and including) 0 and 5." sqref="C20:F20"/>
    <dataValidation type="whole" allowBlank="1" showInputMessage="1" showErrorMessage="1" errorTitle="Benchmark is 5" error="You can only enter 5 for a Benchmark." sqref="B9">
      <formula1>5</formula1>
      <formula2>5</formula2>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0" r:id="rId4"/>
  <drawing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17962-5402-4E38-B902-ABDC67313ECC}">
  <sheetPr>
    <tabColor rgb="FF4FA7BE"/>
    <pageSetUpPr fitToPage="1"/>
  </sheetPr>
  <dimension ref="A1:N26"/>
  <sheetViews>
    <sheetView showGridLines="0" workbookViewId="0" topLeftCell="A1">
      <selection activeCell="B26" sqref="B26"/>
    </sheetView>
  </sheetViews>
  <sheetFormatPr defaultColWidth="9.140625" defaultRowHeight="15"/>
  <cols>
    <col min="1" max="1" width="44.8515625" style="0" customWidth="1"/>
    <col min="2" max="7" width="17.57421875" style="0" customWidth="1"/>
    <col min="8" max="8" width="6.7109375" style="0" customWidth="1"/>
  </cols>
  <sheetData>
    <row r="1" spans="1:14" ht="46.5" customHeight="1">
      <c r="A1" s="4" t="s">
        <v>40</v>
      </c>
      <c r="B1" s="18" t="s">
        <v>39</v>
      </c>
      <c r="J1" s="1"/>
      <c r="N1" s="1"/>
    </row>
    <row r="2" spans="1:7" ht="15">
      <c r="A2" s="11" t="s">
        <v>30</v>
      </c>
      <c r="B2" s="9"/>
      <c r="C2" s="9"/>
      <c r="D2" s="9"/>
      <c r="E2" s="9"/>
      <c r="F2" s="9"/>
      <c r="G2" s="9"/>
    </row>
    <row r="3" spans="1:10" ht="15">
      <c r="A3" s="10" t="s">
        <v>11</v>
      </c>
      <c r="B3" s="8" t="s">
        <v>29</v>
      </c>
      <c r="C3" s="15" t="str">
        <f>IF(Hab&lt;&gt;0,CONCATENATE(Hab," 1"),"Habitat/Site 1")</f>
        <v>Habitat/Site 1</v>
      </c>
      <c r="D3" s="15" t="str">
        <f>IF(Hab&lt;&gt;0,CONCATENATE(Hab," 2"),"Habitat/Site 2")</f>
        <v>Habitat/Site 2</v>
      </c>
      <c r="E3" s="15" t="str">
        <f>IF(Hab&lt;&gt;0,CONCATENATE(Hab," 3"),"Habitat/Site 3")</f>
        <v>Habitat/Site 3</v>
      </c>
      <c r="F3" s="15" t="str">
        <f>IF(Hab&lt;&gt;0,CONCATENATE(Hab," 4"),"Habitat/Site 4")</f>
        <v>Habitat/Site 4</v>
      </c>
      <c r="G3" s="15" t="str">
        <f>IF(Hab&lt;&gt;0,CONCATENATE(Hab," 5"),"Habitat/Site 5")</f>
        <v>Habitat/Site 5</v>
      </c>
      <c r="J3" s="1"/>
    </row>
    <row r="4" spans="1:7" ht="15">
      <c r="A4" s="89" t="s">
        <v>20</v>
      </c>
      <c r="B4" s="84">
        <f>SUM(a)</f>
        <v>1.2000000000000002</v>
      </c>
      <c r="C4" s="27">
        <f>a_1</f>
        <v>0.1</v>
      </c>
      <c r="D4" s="27">
        <f>a_2</f>
        <v>1</v>
      </c>
      <c r="E4" s="27">
        <f>a_3</f>
        <v>0.1</v>
      </c>
      <c r="F4" s="27">
        <f>a_4</f>
        <v>0</v>
      </c>
      <c r="G4" s="27">
        <f>a_5</f>
        <v>0</v>
      </c>
    </row>
    <row r="5" spans="1:7" ht="15">
      <c r="A5" s="25" t="s">
        <v>25</v>
      </c>
      <c r="B5" s="31" t="s">
        <v>48</v>
      </c>
      <c r="C5" s="94">
        <f>IF(C4&lt;&gt;0,C4/(SUM(a)),"")</f>
        <v>0.08333333333333333</v>
      </c>
      <c r="D5" s="26">
        <f>IF(D4&lt;&gt;0,D4/(SUM(a)),"")</f>
        <v>0.8333333333333333</v>
      </c>
      <c r="E5" s="26">
        <f>IF(E4&lt;&gt;0,E4/(SUM(a)),"")</f>
        <v>0.08333333333333333</v>
      </c>
      <c r="F5" s="26" t="str">
        <f>IF(F4&lt;&gt;0,F4/(SUM(a)),"")</f>
        <v/>
      </c>
      <c r="G5" s="26" t="str">
        <f>IF(G4&lt;&gt;0,G4/(SUM(a)),"")</f>
        <v/>
      </c>
    </row>
    <row r="6" spans="1:7" ht="15">
      <c r="A6" s="89" t="s">
        <v>21</v>
      </c>
      <c r="B6" s="85" t="str">
        <f>IF(HabNo&lt;2,MbeforeAi1,"N/A")</f>
        <v>N/A</v>
      </c>
      <c r="C6" s="16">
        <f>MbeforeAi1</f>
        <v>2</v>
      </c>
      <c r="D6" s="16">
        <f>MbeforeAi2</f>
        <v>3</v>
      </c>
      <c r="E6" s="16">
        <f>MbeforeAi3</f>
        <v>1</v>
      </c>
      <c r="F6" s="16">
        <f>MbeforeAi4</f>
        <v>0</v>
      </c>
      <c r="G6" s="16">
        <f>MbeforeAi5</f>
        <v>0</v>
      </c>
    </row>
    <row r="7" spans="1:7" ht="15">
      <c r="A7" s="90" t="s">
        <v>26</v>
      </c>
      <c r="B7" s="85" t="str">
        <f>IF(HabNo&lt;2,MafterAi1,"N/A")</f>
        <v>N/A</v>
      </c>
      <c r="C7" s="16">
        <f>MafterAi1</f>
        <v>0.001</v>
      </c>
      <c r="D7" s="16">
        <f>MafterAi2</f>
        <v>0.001</v>
      </c>
      <c r="E7" s="16">
        <f>MafterAi3</f>
        <v>0.001</v>
      </c>
      <c r="F7" s="16">
        <f>MafterAi4</f>
        <v>0</v>
      </c>
      <c r="G7" s="16">
        <f>MafterAi5</f>
        <v>0</v>
      </c>
    </row>
    <row r="8" spans="1:7" ht="15" hidden="1">
      <c r="A8" s="90" t="s">
        <v>27</v>
      </c>
      <c r="B8" s="85" t="str">
        <f>IF(HabNo&lt;2,Ci_1,"N/A")</f>
        <v>N/A</v>
      </c>
      <c r="C8" s="17">
        <f>IF(C4&lt;&gt;0,Ci_1,"")</f>
        <v>3</v>
      </c>
      <c r="D8" s="17">
        <f>IF(D4&lt;&gt;0,Ci_2,"")</f>
        <v>3</v>
      </c>
      <c r="E8" s="17">
        <f>IF(E4&lt;&gt;0,Ci_3,"")</f>
        <v>3</v>
      </c>
      <c r="F8" s="17" t="str">
        <f>IF(F4&lt;&gt;0,Ci_4,"")</f>
        <v/>
      </c>
      <c r="G8" s="17" t="str">
        <f>IF(G4&lt;&gt;0,Ci_5,"")</f>
        <v/>
      </c>
    </row>
    <row r="9" spans="1:7" ht="15">
      <c r="A9" s="90" t="s">
        <v>36</v>
      </c>
      <c r="B9" s="85" t="str">
        <f>_xlfn.IFERROR(VLOOKUP(B8,Lists!$E$2:$G$5,3,FALSE),"N/A")</f>
        <v>N/A</v>
      </c>
      <c r="C9" s="16">
        <f>_xlfn.IFERROR(VLOOKUP(C8,Lists!$E$2:$G$5,3,FALSE),"")</f>
        <v>1.1</v>
      </c>
      <c r="D9" s="16">
        <f>_xlfn.IFERROR(VLOOKUP(D8,Lists!$E$2:$G$5,3,FALSE),"")</f>
        <v>1.1</v>
      </c>
      <c r="E9" s="16">
        <f>_xlfn.IFERROR(VLOOKUP(E8,Lists!$E$2:$G$5,3,FALSE),"")</f>
        <v>1.1</v>
      </c>
      <c r="F9" s="16" t="str">
        <f>_xlfn.IFERROR(VLOOKUP(F8,Lists!$E$2:$G$5,3,FALSE),"")</f>
        <v/>
      </c>
      <c r="G9" s="16" t="str">
        <f>_xlfn.IFERROR(VLOOKUP(G8,Lists!$E$2:$G$5,3,FALSE),"")</f>
        <v/>
      </c>
    </row>
    <row r="10" spans="1:7" ht="15" hidden="1">
      <c r="A10" s="90" t="s">
        <v>28</v>
      </c>
      <c r="B10" s="85" t="str">
        <f>IF(HabNo&lt;2,Cii_1,"N/A")</f>
        <v>N/A</v>
      </c>
      <c r="C10" s="16">
        <f>IF(C4&lt;&gt;0,Cii_1,"")</f>
        <v>1</v>
      </c>
      <c r="D10" s="16">
        <f>IF(D4&lt;&gt;0,Cii_2,"")</f>
        <v>1</v>
      </c>
      <c r="E10" s="16">
        <f>IF(E4&lt;&gt;0,Cii_3,"")</f>
        <v>1</v>
      </c>
      <c r="F10" s="16" t="str">
        <f>IF(F4&lt;&gt;0,Cii_4,"")</f>
        <v/>
      </c>
      <c r="G10" s="16" t="str">
        <f>IF(G4&lt;&gt;0,Cii_5,"")</f>
        <v/>
      </c>
    </row>
    <row r="11" spans="1:7" ht="15">
      <c r="A11" s="90" t="s">
        <v>35</v>
      </c>
      <c r="B11" s="85" t="str">
        <f>_xlfn.IFERROR(VLOOKUP(B10,Lists!$E$8:$G$11,3,FALSE),"N/A")</f>
        <v>N/A</v>
      </c>
      <c r="C11" s="86">
        <f>_xlfn.IFERROR(VLOOKUP(C10,Lists!$E$8:$G$11,3,FALSE),"")</f>
        <v>1.05</v>
      </c>
      <c r="D11" s="86">
        <f>_xlfn.IFERROR(VLOOKUP(D10,Lists!$E$8:$G$11,3,FALSE),"")</f>
        <v>1.05</v>
      </c>
      <c r="E11" s="86">
        <f>_xlfn.IFERROR(VLOOKUP(E10,Lists!$E$8:$G$11,3,FALSE),"")</f>
        <v>1.05</v>
      </c>
      <c r="F11" s="86" t="str">
        <f>_xlfn.IFERROR(VLOOKUP(F10,Lists!$E$8:$G$11,3,FALSE),"")</f>
        <v/>
      </c>
      <c r="G11" s="86" t="str">
        <f>_xlfn.IFERROR(VLOOKUP(G10,Lists!$E$8:$G$11,3,FALSE),"")</f>
        <v/>
      </c>
    </row>
    <row r="12" spans="1:7" ht="15">
      <c r="A12" s="83" t="s">
        <v>31</v>
      </c>
      <c r="B12" s="87">
        <f>IF(OR(Cii_1=4,Cii_2=4,Cii_3=4,Cii_4=4,Cii_5=4),"Very high uncertainty",IF(B7&lt;&gt;0,SUM(C12:G12),""))</f>
        <v>-1.385307</v>
      </c>
      <c r="C12" s="88">
        <f>IF(Cii_1=4,"Very high uncertainty",_xlfn.IFERROR(((C7/Bi)-(C6/Bi))*C9*C11,""))</f>
        <v>-0.4617690000000001</v>
      </c>
      <c r="D12" s="88">
        <f>IF(Cii_2=4,"Very high uncertainty",_xlfn.IFERROR(((D7/Bi)-(D6/Bi))*D9*D11,""))</f>
        <v>-0.6927690000000001</v>
      </c>
      <c r="E12" s="88">
        <f>IF(Cii_3=4,"Very high uncertainty",_xlfn.IFERROR(((E7/Bi)-(E6/Bi))*E9*E11,""))</f>
        <v>-0.23076900000000003</v>
      </c>
      <c r="F12" s="88" t="str">
        <f>IF(Cii_4=4,"Very high uncertainty",_xlfn.IFERROR(((F7/Bi)-(F6/Bi))*F9*F11,""))</f>
        <v/>
      </c>
      <c r="G12" s="88" t="str">
        <f>IF(Cii_5=4,"Very high uncertainty",_xlfn.IFERROR(((G7/Bi)-(G6/Bi))*G9*G11,""))</f>
        <v/>
      </c>
    </row>
    <row r="13" spans="1:7" ht="15">
      <c r="A13" s="83" t="s">
        <v>32</v>
      </c>
      <c r="B13" s="87">
        <f>IF(B12&lt;&gt;0,SUM(C13:G13),"")</f>
        <v>-0.7620228</v>
      </c>
      <c r="C13" s="17">
        <f>IF(ImpactAiAdjustedChange1&lt;0,ImpactAiAdjustedChange1*C4,"")</f>
        <v>-0.046176900000000014</v>
      </c>
      <c r="D13" s="17">
        <f>IF(ImpactAiAdjustedChange2&lt;0,ImpactAiAdjustedChange2*D4,"")</f>
        <v>-0.6927690000000001</v>
      </c>
      <c r="E13" s="17">
        <f>IF(ImpactAiAdjustedChange3&lt;0,ImpactAiAdjustedChange3*E4,"")</f>
        <v>-0.023076900000000004</v>
      </c>
      <c r="F13" s="17" t="str">
        <f>IF(ImpactAiAdjustedChange4&lt;0,ImpactAiAdjustedChange4*F4,"")</f>
        <v/>
      </c>
      <c r="G13" s="17" t="str">
        <f>IF(ImpactAiAdjustedChange5&lt;0,ImpactAiAdjustedChange5*G4,"")</f>
        <v/>
      </c>
    </row>
    <row r="14" spans="1:7" ht="15">
      <c r="A14" s="3"/>
      <c r="B14" s="3"/>
      <c r="C14" s="3"/>
      <c r="D14" s="3"/>
      <c r="E14" s="3"/>
      <c r="F14" s="3"/>
      <c r="G14" s="3"/>
    </row>
    <row r="15" spans="1:7" ht="15">
      <c r="A15" s="12" t="s">
        <v>12</v>
      </c>
      <c r="B15" s="13" t="s">
        <v>29</v>
      </c>
      <c r="C15" s="14" t="str">
        <f>IF(Comp1&lt;&gt;0,Comp1,"Compensation 1")</f>
        <v>Action 1</v>
      </c>
      <c r="D15" s="14" t="str">
        <f>IF(Comp2&lt;&gt;0,Comp2,"Compensation 2")</f>
        <v>Action 2</v>
      </c>
      <c r="E15" s="14" t="str">
        <f>IF(Comp3&lt;&gt;0,Comp3,"Compensation 3")</f>
        <v>Action 3</v>
      </c>
      <c r="F15" s="14" t="str">
        <f>IF(Comp4&lt;&gt;0,Comp4,"Compensation 4")</f>
        <v>Action 4</v>
      </c>
      <c r="G15" s="14" t="str">
        <f>IF(Comp5&lt;&gt;0,Comp5,"Compensation 5")</f>
        <v>Action 5</v>
      </c>
    </row>
    <row r="16" spans="1:7" ht="15">
      <c r="A16" s="25" t="s">
        <v>22</v>
      </c>
      <c r="B16" s="98">
        <f>SUM(C_a)</f>
        <v>2.1</v>
      </c>
      <c r="C16" s="91">
        <f>C_a1</f>
        <v>2.1</v>
      </c>
      <c r="D16" s="27">
        <f>C_a2</f>
        <v>0</v>
      </c>
      <c r="E16" s="27">
        <f>C_a3</f>
        <v>0</v>
      </c>
      <c r="F16" s="27">
        <f>C_a4</f>
        <v>0</v>
      </c>
      <c r="G16" s="27">
        <f>C_a5</f>
        <v>0</v>
      </c>
    </row>
    <row r="17" spans="1:7" ht="15">
      <c r="A17" s="25" t="s">
        <v>23</v>
      </c>
      <c r="B17" s="99">
        <f>IF(CompNo&lt;2,C_MbeforeAi1,"N/A")</f>
        <v>0.001</v>
      </c>
      <c r="C17" s="92">
        <f>C_MbeforeAi1</f>
        <v>0.001</v>
      </c>
      <c r="D17" s="16">
        <f>C_MbeforeAi2</f>
        <v>0</v>
      </c>
      <c r="E17" s="16">
        <f>C_MbeforeAi3</f>
        <v>0</v>
      </c>
      <c r="F17" s="16">
        <f>C_MbeforeAi4</f>
        <v>0</v>
      </c>
      <c r="G17" s="16">
        <f>C_MbeforeAi5</f>
        <v>0</v>
      </c>
    </row>
    <row r="18" spans="1:7" ht="15">
      <c r="A18" s="25" t="s">
        <v>24</v>
      </c>
      <c r="B18" s="99">
        <f>IF(CompNo&lt;2,C_MafterAi1,"N/A")</f>
        <v>3</v>
      </c>
      <c r="C18" s="92">
        <f>C_MafterAi1</f>
        <v>3</v>
      </c>
      <c r="D18" s="16">
        <f>C_MafterAi2</f>
        <v>0</v>
      </c>
      <c r="E18" s="16">
        <f>C_MafterAi3</f>
        <v>0</v>
      </c>
      <c r="F18" s="16">
        <f>C_MafterAi4</f>
        <v>0</v>
      </c>
      <c r="G18" s="16">
        <f>C_MafterAi5</f>
        <v>0</v>
      </c>
    </row>
    <row r="19" spans="1:7" ht="15" hidden="1">
      <c r="A19" s="82" t="s">
        <v>27</v>
      </c>
      <c r="B19" s="100">
        <f>IF(CompNo&lt;2,C_Ci1,"")</f>
        <v>2</v>
      </c>
      <c r="C19" s="93">
        <f>C_Ci1</f>
        <v>2</v>
      </c>
      <c r="D19" s="17">
        <f>C_Ci2</f>
        <v>0</v>
      </c>
      <c r="E19" s="17">
        <f>C_Ci3</f>
        <v>0</v>
      </c>
      <c r="F19" s="17">
        <f>C_Ci4</f>
        <v>0</v>
      </c>
      <c r="G19" s="17">
        <f>C_Ci5</f>
        <v>0</v>
      </c>
    </row>
    <row r="20" spans="1:7" ht="15">
      <c r="A20" s="82" t="s">
        <v>37</v>
      </c>
      <c r="B20" s="101">
        <f>_xlfn.IFERROR(VLOOKUP(B19,Lists!$E$14:$G$16,3,FALSE),"N/A")</f>
        <v>0.825</v>
      </c>
      <c r="C20" s="94">
        <f>_xlfn.IFERROR(VLOOKUP(C19,Lists!$E$14:$G$16,3,FALSE),"")</f>
        <v>0.825</v>
      </c>
      <c r="D20" s="26" t="str">
        <f>_xlfn.IFERROR(VLOOKUP(D19,Lists!$E$14:$G$16,3,FALSE),"")</f>
        <v/>
      </c>
      <c r="E20" s="26" t="str">
        <f>_xlfn.IFERROR(VLOOKUP(E19,Lists!$E$14:$G$16,3,FALSE),"")</f>
        <v/>
      </c>
      <c r="F20" s="26" t="str">
        <f>_xlfn.IFERROR(VLOOKUP(F19,Lists!$E$14:$G$16,3,FALSE),"")</f>
        <v/>
      </c>
      <c r="G20" s="26" t="str">
        <f>_xlfn.IFERROR(VLOOKUP(G19,Lists!$E$14:$G$16,3,FALSE),"")</f>
        <v/>
      </c>
    </row>
    <row r="21" spans="1:7" ht="15">
      <c r="A21" s="83" t="s">
        <v>38</v>
      </c>
      <c r="B21" s="102">
        <f>SUM(C21:G21)</f>
        <v>0.5998</v>
      </c>
      <c r="C21" s="94">
        <f>IF(C16&lt;&gt;0,(C18/Bi)-(C17/Bi),"")</f>
        <v>0.5998</v>
      </c>
      <c r="D21" s="26" t="str">
        <f>IF(D16&lt;&gt;0,(D18/Bi)-(D17/Bi),"")</f>
        <v/>
      </c>
      <c r="E21" s="26" t="str">
        <f>IF(E16&lt;&gt;0,(E18/Bi)-(E17/Bi),"")</f>
        <v/>
      </c>
      <c r="F21" s="26" t="str">
        <f>IF(F16&lt;&gt;0,(F18/Bi)-(F17/Bi),"")</f>
        <v/>
      </c>
      <c r="G21" s="26" t="str">
        <f>IF(G16&lt;&gt;0,(G18/Bi)-(G17/Bi),"")</f>
        <v/>
      </c>
    </row>
    <row r="22" spans="1:7" ht="15">
      <c r="A22" s="83" t="s">
        <v>31</v>
      </c>
      <c r="B22" s="102">
        <f>SUM(C22:G22)</f>
        <v>0.49483499999999997</v>
      </c>
      <c r="C22" s="94">
        <f>IF(C16&lt;&gt;0,C21*C20,"")</f>
        <v>0.49483499999999997</v>
      </c>
      <c r="D22" s="26" t="str">
        <f>IF(D16&lt;&gt;0,D21*D20,"")</f>
        <v/>
      </c>
      <c r="E22" s="26" t="str">
        <f>IF(E16&lt;&gt;0,E21*E20,"")</f>
        <v/>
      </c>
      <c r="F22" s="26" t="str">
        <f>IF(F16&lt;&gt;0,F21*F20,"")</f>
        <v/>
      </c>
      <c r="G22" s="26" t="str">
        <f>IF(G16&lt;&gt;0,G21*G20,"")</f>
        <v/>
      </c>
    </row>
    <row r="23" spans="1:7" ht="15">
      <c r="A23" s="82" t="s">
        <v>53</v>
      </c>
      <c r="B23" s="98">
        <f>IF(d_1&lt;&gt;"",d_1,"")</f>
        <v>0.03</v>
      </c>
      <c r="C23" s="95">
        <f>d_1</f>
        <v>0.03</v>
      </c>
      <c r="D23" s="27">
        <f>d_2</f>
        <v>0</v>
      </c>
      <c r="E23" s="27">
        <f>d_3</f>
        <v>0</v>
      </c>
      <c r="F23" s="27">
        <f>d_4</f>
        <v>0</v>
      </c>
      <c r="G23" s="27">
        <f>d_5</f>
        <v>0</v>
      </c>
    </row>
    <row r="24" spans="1:7" ht="15">
      <c r="A24" s="82" t="s">
        <v>34</v>
      </c>
      <c r="B24" s="99">
        <f>IF(CompNo&lt;2,t_1,"N/A")</f>
        <v>10</v>
      </c>
      <c r="C24" s="96">
        <f>t_1</f>
        <v>10</v>
      </c>
      <c r="D24" s="16">
        <f>t_2</f>
        <v>0</v>
      </c>
      <c r="E24" s="16">
        <f>t_3</f>
        <v>0</v>
      </c>
      <c r="F24" s="16">
        <f>t_4</f>
        <v>0</v>
      </c>
      <c r="G24" s="16">
        <f>t_5</f>
        <v>0</v>
      </c>
    </row>
    <row r="25" spans="1:7" ht="15" customHeight="1">
      <c r="A25" s="83" t="s">
        <v>33</v>
      </c>
      <c r="B25" s="103">
        <f>SUM(C25:G25)</f>
        <v>0.7732277959936341</v>
      </c>
      <c r="C25" s="97">
        <f>IF(AND(C24&lt;&gt;0,C22&gt;0,C16&gt;0),(C22/((1+C23)^C24))*C16,"")</f>
        <v>0.7732277959936341</v>
      </c>
      <c r="D25" s="30" t="str">
        <f>IF(AND(D24&lt;&gt;0,D22&gt;0,D16&gt;0),(D22/((1+D23)^D24))*D16,"")</f>
        <v/>
      </c>
      <c r="E25" s="30" t="str">
        <f>IF(AND(E24&lt;&gt;0,E22&gt;0,E16&gt;0),(E22/((1+E23)^E24))*E16,"")</f>
        <v/>
      </c>
      <c r="F25" s="30" t="str">
        <f>IF(AND(F24&lt;&gt;0,F22&gt;0,F16&gt;0),(F22/((1+F23)^F24))*F16,"")</f>
        <v/>
      </c>
      <c r="G25" s="30" t="str">
        <f>IF(AND(G24&lt;&gt;0,G22&gt;0,G16&gt;0),(G22/((1+G23)^G24))*G16,"")</f>
        <v/>
      </c>
    </row>
    <row r="26" spans="1:7" ht="15" customHeight="1">
      <c r="A26" s="83" t="s">
        <v>77</v>
      </c>
      <c r="B26" s="103">
        <f>IF(B16&lt;&gt;0,CompBV_Ai+ImpactBV_Ai,"")</f>
        <v>0.011204995993634115</v>
      </c>
      <c r="C26" s="3"/>
      <c r="D26" s="3"/>
      <c r="E26" s="3"/>
      <c r="F26" s="3"/>
      <c r="G26" s="3"/>
    </row>
  </sheetData>
  <sheetProtection sheet="1" objects="1" scenarios="1"/>
  <conditionalFormatting sqref="C16:G25 C4:G13">
    <cfRule type="cellIs" priority="30" dxfId="14" operator="equal">
      <formula>0</formula>
    </cfRule>
  </conditionalFormatting>
  <conditionalFormatting sqref="B4:B13">
    <cfRule type="cellIs" priority="29" dxfId="13" operator="equal">
      <formula>0</formula>
    </cfRule>
  </conditionalFormatting>
  <conditionalFormatting sqref="B16:B26">
    <cfRule type="cellIs" priority="28" dxfId="12" operator="equal">
      <formula>0</formula>
    </cfRule>
  </conditionalFormatting>
  <conditionalFormatting sqref="G15:G25">
    <cfRule type="expression" priority="27" dxfId="4">
      <formula>CompNo&lt;5</formula>
    </cfRule>
  </conditionalFormatting>
  <conditionalFormatting sqref="F15:F25">
    <cfRule type="expression" priority="26" dxfId="4">
      <formula>CompNo&lt;4</formula>
    </cfRule>
  </conditionalFormatting>
  <conditionalFormatting sqref="E15:E25">
    <cfRule type="expression" priority="25" dxfId="4">
      <formula>CompNo&lt;3</formula>
    </cfRule>
  </conditionalFormatting>
  <conditionalFormatting sqref="D15:D25">
    <cfRule type="expression" priority="24" dxfId="4">
      <formula>CompNo&lt;2</formula>
    </cfRule>
  </conditionalFormatting>
  <conditionalFormatting sqref="G2:G13">
    <cfRule type="expression" priority="23" dxfId="4">
      <formula>HabNo&lt;5</formula>
    </cfRule>
  </conditionalFormatting>
  <conditionalFormatting sqref="F2:F13">
    <cfRule type="expression" priority="22" dxfId="4">
      <formula>HabNo&lt;4</formula>
    </cfRule>
  </conditionalFormatting>
  <conditionalFormatting sqref="E2:E13">
    <cfRule type="expression" priority="21" dxfId="4">
      <formula>HabNo&lt;3</formula>
    </cfRule>
  </conditionalFormatting>
  <conditionalFormatting sqref="D2:D13">
    <cfRule type="expression" priority="20" dxfId="4">
      <formula>HabNo&lt;2</formula>
    </cfRule>
  </conditionalFormatting>
  <conditionalFormatting sqref="B6">
    <cfRule type="expression" priority="19" dxfId="3">
      <formula>HabNo&gt;1</formula>
    </cfRule>
  </conditionalFormatting>
  <conditionalFormatting sqref="B7">
    <cfRule type="expression" priority="18" dxfId="1">
      <formula>HabNo&gt;1</formula>
    </cfRule>
  </conditionalFormatting>
  <conditionalFormatting sqref="B17:B18 B20 B24">
    <cfRule type="expression" priority="17" dxfId="1">
      <formula>CompNo&gt;1</formula>
    </cfRule>
  </conditionalFormatting>
  <conditionalFormatting sqref="B6:B11 B17:B18 B20 B24">
    <cfRule type="cellIs" priority="1" dxfId="0" operator="equal">
      <formula>"N/A"</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portrait" paperSize="9" scale="69" r:id="rId2"/>
  <ignoredErrors>
    <ignoredError sqref="B7" formula="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3D173-B5BB-44C2-A07A-0D2A25DD836B}">
  <dimension ref="A1:H16"/>
  <sheetViews>
    <sheetView showGridLines="0" workbookViewId="0" topLeftCell="A1"/>
  </sheetViews>
  <sheetFormatPr defaultColWidth="9.140625" defaultRowHeight="15"/>
  <cols>
    <col min="1" max="3" width="15.8515625" style="0" customWidth="1"/>
    <col min="4" max="4" width="3.140625" style="0" customWidth="1"/>
    <col min="6" max="6" width="67.7109375" style="0" customWidth="1"/>
  </cols>
  <sheetData>
    <row r="1" spans="1:7" ht="15">
      <c r="A1" s="23" t="s">
        <v>4</v>
      </c>
      <c r="B1" s="24" t="s">
        <v>5</v>
      </c>
      <c r="C1" s="24" t="s">
        <v>6</v>
      </c>
      <c r="E1" s="19" t="s">
        <v>13</v>
      </c>
      <c r="F1" s="19"/>
      <c r="G1" s="19" t="s">
        <v>41</v>
      </c>
    </row>
    <row r="2" spans="1:7" ht="15">
      <c r="A2" s="20">
        <v>1</v>
      </c>
      <c r="B2" s="19">
        <v>1</v>
      </c>
      <c r="C2" s="19">
        <v>1</v>
      </c>
      <c r="E2" s="19">
        <v>1</v>
      </c>
      <c r="F2" s="22" t="s">
        <v>14</v>
      </c>
      <c r="G2" s="19">
        <v>1</v>
      </c>
    </row>
    <row r="3" spans="1:7" ht="15">
      <c r="A3" s="20">
        <v>2</v>
      </c>
      <c r="B3" s="19">
        <v>2</v>
      </c>
      <c r="C3" s="19">
        <v>2</v>
      </c>
      <c r="E3" s="19">
        <v>2</v>
      </c>
      <c r="F3" s="22" t="s">
        <v>70</v>
      </c>
      <c r="G3" s="19">
        <v>1.05</v>
      </c>
    </row>
    <row r="4" spans="1:7" ht="15">
      <c r="A4" s="20">
        <v>3</v>
      </c>
      <c r="B4" s="19">
        <v>3</v>
      </c>
      <c r="C4" s="19">
        <v>3</v>
      </c>
      <c r="E4" s="19">
        <v>3</v>
      </c>
      <c r="F4" s="22" t="s">
        <v>69</v>
      </c>
      <c r="G4" s="19">
        <v>1.1</v>
      </c>
    </row>
    <row r="5" spans="1:7" ht="15">
      <c r="A5" s="20">
        <v>4</v>
      </c>
      <c r="B5" s="19">
        <v>4</v>
      </c>
      <c r="C5" s="19">
        <v>4</v>
      </c>
      <c r="E5" s="19">
        <v>4</v>
      </c>
      <c r="F5" s="22" t="s">
        <v>71</v>
      </c>
      <c r="G5" s="19">
        <v>1.2</v>
      </c>
    </row>
    <row r="6" ht="15">
      <c r="A6" s="19">
        <v>5</v>
      </c>
    </row>
    <row r="7" spans="5:7" ht="15">
      <c r="E7" s="19" t="s">
        <v>15</v>
      </c>
      <c r="F7" s="19"/>
      <c r="G7" s="19" t="s">
        <v>41</v>
      </c>
    </row>
    <row r="8" spans="5:7" ht="15">
      <c r="E8" s="19">
        <v>1</v>
      </c>
      <c r="F8" s="22" t="s">
        <v>73</v>
      </c>
      <c r="G8" s="19">
        <v>1.05</v>
      </c>
    </row>
    <row r="9" spans="5:7" ht="15" customHeight="1">
      <c r="E9" s="19">
        <v>2</v>
      </c>
      <c r="F9" s="22" t="s">
        <v>74</v>
      </c>
      <c r="G9" s="19">
        <v>1.1</v>
      </c>
    </row>
    <row r="10" spans="5:7" ht="15">
      <c r="E10" s="19">
        <v>3</v>
      </c>
      <c r="F10" s="22" t="s">
        <v>75</v>
      </c>
      <c r="G10" s="19">
        <v>1.2</v>
      </c>
    </row>
    <row r="11" spans="5:7" ht="15">
      <c r="E11" s="19">
        <v>4</v>
      </c>
      <c r="F11" s="22" t="s">
        <v>72</v>
      </c>
      <c r="G11" s="19" t="s">
        <v>76</v>
      </c>
    </row>
    <row r="12" ht="15">
      <c r="E12" s="3"/>
    </row>
    <row r="13" spans="5:8" ht="15">
      <c r="E13" s="19" t="s">
        <v>16</v>
      </c>
      <c r="F13" s="19"/>
      <c r="G13" s="19" t="s">
        <v>41</v>
      </c>
      <c r="H13" s="1"/>
    </row>
    <row r="14" spans="5:8" ht="15">
      <c r="E14" s="19">
        <v>1</v>
      </c>
      <c r="F14" s="22" t="s">
        <v>17</v>
      </c>
      <c r="G14" s="21">
        <v>0.925</v>
      </c>
      <c r="H14" s="1"/>
    </row>
    <row r="15" spans="5:7" ht="15">
      <c r="E15" s="19">
        <v>2</v>
      </c>
      <c r="F15" s="22" t="s">
        <v>18</v>
      </c>
      <c r="G15" s="21">
        <v>0.825</v>
      </c>
    </row>
    <row r="16" spans="5:7" ht="15">
      <c r="E16" s="19">
        <v>3</v>
      </c>
      <c r="F16" s="22" t="s">
        <v>19</v>
      </c>
      <c r="G16" s="21">
        <v>0.625</v>
      </c>
    </row>
  </sheetData>
  <sheetProtection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Jeannie Dickson</dc:creator>
  <cp:keywords/>
  <dc:description/>
  <cp:lastModifiedBy>Matt Baber</cp:lastModifiedBy>
  <cp:lastPrinted>2021-09-30T20:56:47Z</cp:lastPrinted>
  <dcterms:created xsi:type="dcterms:W3CDTF">2021-04-22T23:46:18Z</dcterms:created>
  <dcterms:modified xsi:type="dcterms:W3CDTF">2021-10-07T02:41:49Z</dcterms:modified>
  <cp:category/>
  <cp:version/>
  <cp:contentType/>
  <cp:contentStatus/>
</cp:coreProperties>
</file>